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STUDENT COMPLETE\CHAPTER  1 DATA\Data\"/>
    </mc:Choice>
  </mc:AlternateContent>
  <bookViews>
    <workbookView xWindow="1320" yWindow="0" windowWidth="13125" windowHeight="8415" activeTab="1"/>
  </bookViews>
  <sheets>
    <sheet name="TOC" sheetId="5" r:id="rId1"/>
    <sheet name="1" sheetId="1" r:id="rId2"/>
    <sheet name="2" sheetId="6" state="hidden" r:id="rId3"/>
    <sheet name="3" sheetId="4" state="hidden" r:id="rId4"/>
    <sheet name="4" sheetId="3" state="hidden" r:id="rId5"/>
    <sheet name="5" sheetId="7" state="hidden" r:id="rId6"/>
    <sheet name="6" sheetId="8" state="hidden" r:id="rId7"/>
    <sheet name="7" sheetId="10" state="hidden" r:id="rId8"/>
    <sheet name="8" sheetId="12" state="hidden" r:id="rId9"/>
    <sheet name="9" sheetId="11" state="hidden" r:id="rId10"/>
    <sheet name="10" sheetId="9" state="hidden" r:id="rId11"/>
    <sheet name="11" sheetId="15" state="hidden" r:id="rId12"/>
    <sheet name="11S" sheetId="17" state="hidden" r:id="rId13"/>
    <sheet name="12" sheetId="19" state="hidden" r:id="rId14"/>
    <sheet name="13" sheetId="21" state="hidden" r:id="rId15"/>
    <sheet name="14" sheetId="22" state="hidden" r:id="rId16"/>
    <sheet name="15" sheetId="24" state="hidden" r:id="rId17"/>
    <sheet name="16" sheetId="23" state="hidden" r:id="rId18"/>
    <sheet name="17" sheetId="25" state="hidden" r:id="rId19"/>
    <sheet name="18" sheetId="26" state="hidden" r:id="rId20"/>
    <sheet name="19" sheetId="27" state="hidden" r:id="rId21"/>
    <sheet name="20" sheetId="28" state="hidden" r:id="rId22"/>
    <sheet name="21" sheetId="29" state="hidden" r:id="rId23"/>
  </sheets>
  <definedNames>
    <definedName name="_xlnm._FilterDatabase" localSheetId="11" hidden="1">'11'!$A$1:$N$742</definedName>
    <definedName name="_xlnm._FilterDatabase" localSheetId="13" hidden="1">'12'!$A$3:$G$912</definedName>
    <definedName name="_xlnm._FilterDatabase" localSheetId="15" hidden="1">'14'!$A$1:$L$742</definedName>
    <definedName name="_xlnm._FilterDatabase" localSheetId="19" hidden="1">'18'!#REF!</definedName>
    <definedName name="_xlnm._FilterDatabase" localSheetId="5" hidden="1">'5'!$A$1:$O$742</definedName>
    <definedName name="_xlnm._FilterDatabase" localSheetId="7" hidden="1">'7'!$A$2:$O$743</definedName>
    <definedName name="ee" localSheetId="10" hidden="1">{"FirstQ",#N/A,FALSE,"Budget2000";"SecondQ",#N/A,FALSE,"Budget2000";"Summary",#N/A,FALSE,"Budget2000"}</definedName>
    <definedName name="ee" localSheetId="11" hidden="1">{"FirstQ",#N/A,FALSE,"Budget2000";"SecondQ",#N/A,FALSE,"Budget2000";"Summary",#N/A,FALSE,"Budget2000"}</definedName>
    <definedName name="ee" localSheetId="13" hidden="1">{"FirstQ",#N/A,FALSE,"Budget2000";"SecondQ",#N/A,FALSE,"Budget2000";"Summary",#N/A,FALSE,"Budget2000"}</definedName>
    <definedName name="ee" localSheetId="14" hidden="1">{"FirstQ",#N/A,FALSE,"Budget2000";"SecondQ",#N/A,FALSE,"Budget2000";"Summary",#N/A,FALSE,"Budget2000"}</definedName>
    <definedName name="ee" localSheetId="15" hidden="1">{"FirstQ",#N/A,FALSE,"Budget2000";"SecondQ",#N/A,FALSE,"Budget2000";"Summary",#N/A,FALSE,"Budget2000"}</definedName>
    <definedName name="ee" localSheetId="16" hidden="1">{"FirstQ",#N/A,FALSE,"Budget2000";"SecondQ",#N/A,FALSE,"Budget2000";"Summary",#N/A,FALSE,"Budget2000"}</definedName>
    <definedName name="ee" localSheetId="17" hidden="1">{"FirstQ",#N/A,FALSE,"Budget2000";"SecondQ",#N/A,FALSE,"Budget2000";"Summary",#N/A,FALSE,"Budget2000"}</definedName>
    <definedName name="ee" localSheetId="18" hidden="1">{"FirstQ",#N/A,FALSE,"Budget2000";"SecondQ",#N/A,FALSE,"Budget2000";"Summary",#N/A,FALSE,"Budget2000"}</definedName>
    <definedName name="ee" localSheetId="19" hidden="1">{"FirstQ",#N/A,FALSE,"Budget2000";"SecondQ",#N/A,FALSE,"Budget2000";"Summary",#N/A,FALSE,"Budget2000"}</definedName>
    <definedName name="ee" localSheetId="21" hidden="1">{"FirstQ",#N/A,FALSE,"Budget2000";"SecondQ",#N/A,FALSE,"Budget2000";"Summary",#N/A,FALSE,"Budget2000"}</definedName>
    <definedName name="ee" localSheetId="22" hidden="1">{"FirstQ",#N/A,FALSE,"Budget2000";"SecondQ",#N/A,FALSE,"Budget2000";"Summary",#N/A,FALSE,"Budget2000"}</definedName>
    <definedName name="ee" localSheetId="6" hidden="1">{"FirstQ",#N/A,FALSE,"Budget2000";"SecondQ",#N/A,FALSE,"Budget2000";"Summary",#N/A,FALSE,"Budget2000"}</definedName>
    <definedName name="ee" localSheetId="7" hidden="1">{"FirstQ",#N/A,FALSE,"Budget2000";"SecondQ",#N/A,FALSE,"Budget2000";"Summary",#N/A,FALSE,"Budget2000"}</definedName>
    <definedName name="ee" localSheetId="8" hidden="1">{"FirstQ",#N/A,FALSE,"Budget2000";"SecondQ",#N/A,FALSE,"Budget2000";"Summary",#N/A,FALSE,"Budget2000"}</definedName>
    <definedName name="ee" localSheetId="9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ggg" localSheetId="22" hidden="1">{"FirstQ",#N/A,FALSE,"Budget2000";"SecondQ",#N/A,FALSE,"Budget2000";"Summary",#N/A,FALSE,"Budget2000"}</definedName>
    <definedName name="ggg" hidden="1">{"FirstQ",#N/A,FALSE,"Budget2000";"SecondQ",#N/A,FALSE,"Budget2000";"Summary",#N/A,FALSE,"Budget2000"}</definedName>
    <definedName name="k" localSheetId="10" hidden="1">{"FirstQ",#N/A,FALSE,"Budget2000";"SecondQ",#N/A,FALSE,"Budget2000";"Summary",#N/A,FALSE,"Budget2000"}</definedName>
    <definedName name="k" localSheetId="11" hidden="1">{"FirstQ",#N/A,FALSE,"Budget2000";"SecondQ",#N/A,FALSE,"Budget2000";"Summary",#N/A,FALSE,"Budget2000"}</definedName>
    <definedName name="k" localSheetId="13" hidden="1">{"FirstQ",#N/A,FALSE,"Budget2000";"SecondQ",#N/A,FALSE,"Budget2000";"Summary",#N/A,FALSE,"Budget2000"}</definedName>
    <definedName name="k" localSheetId="14" hidden="1">{"FirstQ",#N/A,FALSE,"Budget2000";"SecondQ",#N/A,FALSE,"Budget2000";"Summary",#N/A,FALSE,"Budget2000"}</definedName>
    <definedName name="k" localSheetId="15" hidden="1">{"FirstQ",#N/A,FALSE,"Budget2000";"SecondQ",#N/A,FALSE,"Budget2000";"Summary",#N/A,FALSE,"Budget2000"}</definedName>
    <definedName name="k" localSheetId="16" hidden="1">{"FirstQ",#N/A,FALSE,"Budget2000";"SecondQ",#N/A,FALSE,"Budget2000";"Summary",#N/A,FALSE,"Budget2000"}</definedName>
    <definedName name="k" localSheetId="17" hidden="1">{"FirstQ",#N/A,FALSE,"Budget2000";"SecondQ",#N/A,FALSE,"Budget2000";"Summary",#N/A,FALSE,"Budget2000"}</definedName>
    <definedName name="k" localSheetId="18" hidden="1">{"FirstQ",#N/A,FALSE,"Budget2000";"SecondQ",#N/A,FALSE,"Budget2000";"Summary",#N/A,FALSE,"Budget2000"}</definedName>
    <definedName name="k" localSheetId="19" hidden="1">{"FirstQ",#N/A,FALSE,"Budget2000";"SecondQ",#N/A,FALSE,"Budget2000";"Summary",#N/A,FALSE,"Budget2000"}</definedName>
    <definedName name="k" localSheetId="21" hidden="1">{"FirstQ",#N/A,FALSE,"Budget2000";"SecondQ",#N/A,FALSE,"Budget2000";"Summary",#N/A,FALSE,"Budget2000"}</definedName>
    <definedName name="k" localSheetId="22" hidden="1">{"FirstQ",#N/A,FALSE,"Budget2000";"SecondQ",#N/A,FALSE,"Budget2000";"Summary",#N/A,FALSE,"Budget2000"}</definedName>
    <definedName name="k" localSheetId="6" hidden="1">{"FirstQ",#N/A,FALSE,"Budget2000";"SecondQ",#N/A,FALSE,"Budget2000";"Summary",#N/A,FALSE,"Budget2000"}</definedName>
    <definedName name="k" localSheetId="7" hidden="1">{"FirstQ",#N/A,FALSE,"Budget2000";"SecondQ",#N/A,FALSE,"Budget2000";"Summary",#N/A,FALSE,"Budget2000"}</definedName>
    <definedName name="k" localSheetId="8" hidden="1">{"FirstQ",#N/A,FALSE,"Budget2000";"SecondQ",#N/A,FALSE,"Budget2000";"Summary",#N/A,FALSE,"Budget2000"}</definedName>
    <definedName name="k" localSheetId="9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0" hidden="1">{"FirstQ",#N/A,FALSE,"Budget2000";"SecondQ",#N/A,FALSE,"Budget2000";"Summary",#N/A,FALSE,"Budget2000"}</definedName>
    <definedName name="q" localSheetId="11" hidden="1">{"FirstQ",#N/A,FALSE,"Budget2000";"SecondQ",#N/A,FALSE,"Budget2000";"Summary",#N/A,FALSE,"Budget2000"}</definedName>
    <definedName name="q" localSheetId="13" hidden="1">{"FirstQ",#N/A,FALSE,"Budget2000";"SecondQ",#N/A,FALSE,"Budget2000";"Summary",#N/A,FALSE,"Budget2000"}</definedName>
    <definedName name="q" localSheetId="14" hidden="1">{"FirstQ",#N/A,FALSE,"Budget2000";"SecondQ",#N/A,FALSE,"Budget2000";"Summary",#N/A,FALSE,"Budget2000"}</definedName>
    <definedName name="q" localSheetId="15" hidden="1">{"FirstQ",#N/A,FALSE,"Budget2000";"SecondQ",#N/A,FALSE,"Budget2000";"Summary",#N/A,FALSE,"Budget2000"}</definedName>
    <definedName name="q" localSheetId="16" hidden="1">{"FirstQ",#N/A,FALSE,"Budget2000";"SecondQ",#N/A,FALSE,"Budget2000";"Summary",#N/A,FALSE,"Budget2000"}</definedName>
    <definedName name="q" localSheetId="17" hidden="1">{"FirstQ",#N/A,FALSE,"Budget2000";"SecondQ",#N/A,FALSE,"Budget2000";"Summary",#N/A,FALSE,"Budget2000"}</definedName>
    <definedName name="q" localSheetId="18" hidden="1">{"FirstQ",#N/A,FALSE,"Budget2000";"SecondQ",#N/A,FALSE,"Budget2000";"Summary",#N/A,FALSE,"Budget2000"}</definedName>
    <definedName name="q" localSheetId="19" hidden="1">{"FirstQ",#N/A,FALSE,"Budget2000";"SecondQ",#N/A,FALSE,"Budget2000";"Summary",#N/A,FALSE,"Budget2000"}</definedName>
    <definedName name="q" localSheetId="21" hidden="1">{"FirstQ",#N/A,FALSE,"Budget2000";"SecondQ",#N/A,FALSE,"Budget2000";"Summary",#N/A,FALSE,"Budget2000"}</definedName>
    <definedName name="q" localSheetId="22" hidden="1">{"FirstQ",#N/A,FALSE,"Budget2000";"SecondQ",#N/A,FALSE,"Budget2000";"Summary",#N/A,FALSE,"Budget2000"}</definedName>
    <definedName name="q" localSheetId="6" hidden="1">{"FirstQ",#N/A,FALSE,"Budget2000";"SecondQ",#N/A,FALSE,"Budget2000";"Summary",#N/A,FALSE,"Budget2000"}</definedName>
    <definedName name="q" localSheetId="7" hidden="1">{"FirstQ",#N/A,FALSE,"Budget2000";"SecondQ",#N/A,FALSE,"Budget2000";"Summary",#N/A,FALSE,"Budget2000"}</definedName>
    <definedName name="q" localSheetId="8" hidden="1">{"FirstQ",#N/A,FALSE,"Budget2000";"SecondQ",#N/A,FALSE,"Budget2000";"Summary",#N/A,FALSE,"Budget2000"}</definedName>
    <definedName name="q" localSheetId="9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0" hidden="1">{"FirstQ",#N/A,FALSE,"Budget2000";"SecondQ",#N/A,FALSE,"Budget2000"}</definedName>
    <definedName name="rr" localSheetId="11" hidden="1">{"FirstQ",#N/A,FALSE,"Budget2000";"SecondQ",#N/A,FALSE,"Budget2000"}</definedName>
    <definedName name="rr" localSheetId="13" hidden="1">{"FirstQ",#N/A,FALSE,"Budget2000";"SecondQ",#N/A,FALSE,"Budget2000"}</definedName>
    <definedName name="rr" localSheetId="14" hidden="1">{"FirstQ",#N/A,FALSE,"Budget2000";"SecondQ",#N/A,FALSE,"Budget2000"}</definedName>
    <definedName name="rr" localSheetId="15" hidden="1">{"FirstQ",#N/A,FALSE,"Budget2000";"SecondQ",#N/A,FALSE,"Budget2000"}</definedName>
    <definedName name="rr" localSheetId="16" hidden="1">{"FirstQ",#N/A,FALSE,"Budget2000";"SecondQ",#N/A,FALSE,"Budget2000"}</definedName>
    <definedName name="rr" localSheetId="17" hidden="1">{"FirstQ",#N/A,FALSE,"Budget2000";"SecondQ",#N/A,FALSE,"Budget2000"}</definedName>
    <definedName name="rr" localSheetId="18" hidden="1">{"FirstQ",#N/A,FALSE,"Budget2000";"SecondQ",#N/A,FALSE,"Budget2000"}</definedName>
    <definedName name="rr" localSheetId="19" hidden="1">{"FirstQ",#N/A,FALSE,"Budget2000";"SecondQ",#N/A,FALSE,"Budget2000"}</definedName>
    <definedName name="rr" localSheetId="21" hidden="1">{"FirstQ",#N/A,FALSE,"Budget2000";"SecondQ",#N/A,FALSE,"Budget2000"}</definedName>
    <definedName name="rr" localSheetId="22" hidden="1">{"FirstQ",#N/A,FALSE,"Budget2000";"SecondQ",#N/A,FALSE,"Budget2000"}</definedName>
    <definedName name="rr" localSheetId="6" hidden="1">{"FirstQ",#N/A,FALSE,"Budget2000";"SecondQ",#N/A,FALSE,"Budget2000"}</definedName>
    <definedName name="rr" localSheetId="7" hidden="1">{"FirstQ",#N/A,FALSE,"Budget2000";"SecondQ",#N/A,FALSE,"Budget2000"}</definedName>
    <definedName name="rr" localSheetId="8" hidden="1">{"FirstQ",#N/A,FALSE,"Budget2000";"SecondQ",#N/A,FALSE,"Budget2000"}</definedName>
    <definedName name="rr" localSheetId="9" hidden="1">{"FirstQ",#N/A,FALSE,"Budget2000";"SecondQ",#N/A,FALSE,"Budget2000"}</definedName>
    <definedName name="rr" hidden="1">{"FirstQ",#N/A,FALSE,"Budget2000";"SecondQ",#N/A,FALSE,"Budget2000"}</definedName>
    <definedName name="rrr" localSheetId="10" hidden="1">{"AllDetail",#N/A,FALSE,"Research Budget";"1stQuarter",#N/A,FALSE,"Research Budget";"2nd Quarter",#N/A,FALSE,"Research Budget";"Summary",#N/A,FALSE,"Research Budget"}</definedName>
    <definedName name="rrr" localSheetId="11" hidden="1">{"AllDetail",#N/A,FALSE,"Research Budget";"1stQuarter",#N/A,FALSE,"Research Budget";"2nd Quarter",#N/A,FALSE,"Research Budget";"Summary",#N/A,FALSE,"Research Budget"}</definedName>
    <definedName name="rrr" localSheetId="13" hidden="1">{"AllDetail",#N/A,FALSE,"Research Budget";"1stQuarter",#N/A,FALSE,"Research Budget";"2nd Quarter",#N/A,FALSE,"Research Budget";"Summary",#N/A,FALSE,"Research Budget"}</definedName>
    <definedName name="rrr" localSheetId="14" hidden="1">{"AllDetail",#N/A,FALSE,"Research Budget";"1stQuarter",#N/A,FALSE,"Research Budget";"2nd Quarter",#N/A,FALSE,"Research Budget";"Summary",#N/A,FALSE,"Research Budget"}</definedName>
    <definedName name="rrr" localSheetId="15" hidden="1">{"AllDetail",#N/A,FALSE,"Research Budget";"1stQuarter",#N/A,FALSE,"Research Budget";"2nd Quarter",#N/A,FALSE,"Research Budget";"Summary",#N/A,FALSE,"Research Budget"}</definedName>
    <definedName name="rrr" localSheetId="16" hidden="1">{"AllDetail",#N/A,FALSE,"Research Budget";"1stQuarter",#N/A,FALSE,"Research Budget";"2nd Quarter",#N/A,FALSE,"Research Budget";"Summary",#N/A,FALSE,"Research Budget"}</definedName>
    <definedName name="rrr" localSheetId="17" hidden="1">{"AllDetail",#N/A,FALSE,"Research Budget";"1stQuarter",#N/A,FALSE,"Research Budget";"2nd Quarter",#N/A,FALSE,"Research Budget";"Summary",#N/A,FALSE,"Research Budget"}</definedName>
    <definedName name="rrr" localSheetId="18" hidden="1">{"AllDetail",#N/A,FALSE,"Research Budget";"1stQuarter",#N/A,FALSE,"Research Budget";"2nd Quarter",#N/A,FALSE,"Research Budget";"Summary",#N/A,FALSE,"Research Budget"}</definedName>
    <definedName name="rrr" localSheetId="19" hidden="1">{"AllDetail",#N/A,FALSE,"Research Budget";"1stQuarter",#N/A,FALSE,"Research Budget";"2nd Quarter",#N/A,FALSE,"Research Budget";"Summary",#N/A,FALSE,"Research Budget"}</definedName>
    <definedName name="rrr" localSheetId="21" hidden="1">{"AllDetail",#N/A,FALSE,"Research Budget";"1stQuarter",#N/A,FALSE,"Research Budget";"2nd Quarter",#N/A,FALSE,"Research Budget";"Summary",#N/A,FALSE,"Research Budget"}</definedName>
    <definedName name="rrr" localSheetId="22" hidden="1">{"AllDetail",#N/A,FALSE,"Research Budget";"1stQuarter",#N/A,FALSE,"Research Budget";"2nd Quarter",#N/A,FALSE,"Research Budget";"Summary",#N/A,FALSE,"Research Budget"}</definedName>
    <definedName name="rrr" localSheetId="6" hidden="1">{"AllDetail",#N/A,FALSE,"Research Budget";"1stQuarter",#N/A,FALSE,"Research Budget";"2nd Quarter",#N/A,FALSE,"Research Budget";"Summary",#N/A,FALSE,"Research Budget"}</definedName>
    <definedName name="rrr" localSheetId="7" hidden="1">{"AllDetail",#N/A,FALSE,"Research Budget";"1stQuarter",#N/A,FALSE,"Research Budget";"2nd Quarter",#N/A,FALSE,"Research Budget";"Summary",#N/A,FALSE,"Research Budget"}</definedName>
    <definedName name="rrr" localSheetId="8" hidden="1">{"AllDetail",#N/A,FALSE,"Research Budget";"1stQuarter",#N/A,FALSE,"Research Budget";"2nd Quarter",#N/A,FALSE,"Research Budget";"Summary",#N/A,FALSE,"Research Budget"}</definedName>
    <definedName name="rrr" localSheetId="9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olver_adj" localSheetId="16" hidden="1">'15'!$B$3:$G$3,'15'!$B$4:$G$4</definedName>
    <definedName name="solver_cvg" localSheetId="16" hidden="1">0.0001</definedName>
    <definedName name="solver_drv" localSheetId="16" hidden="1">1</definedName>
    <definedName name="solver_est" localSheetId="16" hidden="1">1</definedName>
    <definedName name="solver_itr" localSheetId="16" hidden="1">100</definedName>
    <definedName name="solver_lhs1" localSheetId="16" hidden="1">'15'!$B$3:$G$3</definedName>
    <definedName name="solver_lhs2" localSheetId="16" hidden="1">'15'!$B$4:$G$4</definedName>
    <definedName name="solver_lin" localSheetId="16" hidden="1">2</definedName>
    <definedName name="solver_neg" localSheetId="16" hidden="1">2</definedName>
    <definedName name="solver_num" localSheetId="16" hidden="1">2</definedName>
    <definedName name="solver_nwt" localSheetId="16" hidden="1">1</definedName>
    <definedName name="solver_opt" localSheetId="16" hidden="1">'15'!$H$5</definedName>
    <definedName name="solver_pre" localSheetId="16" hidden="1">0.000001</definedName>
    <definedName name="solver_rel1" localSheetId="16" hidden="1">1</definedName>
    <definedName name="solver_rel2" localSheetId="16" hidden="1">1</definedName>
    <definedName name="solver_rhs1" localSheetId="16" hidden="1">500</definedName>
    <definedName name="solver_rhs2" localSheetId="16" hidden="1">350</definedName>
    <definedName name="solver_scl" localSheetId="16" hidden="1">2</definedName>
    <definedName name="solver_sho" localSheetId="16" hidden="1">1</definedName>
    <definedName name="solver_tim" localSheetId="16" hidden="1">100</definedName>
    <definedName name="solver_tol" localSheetId="16" hidden="1">0.05</definedName>
    <definedName name="solver_typ" localSheetId="16" hidden="1">3</definedName>
    <definedName name="solver_val" localSheetId="16" hidden="1">500</definedName>
    <definedName name="wrn.AllData." localSheetId="10" hidden="1">{"FirstQ",#N/A,FALSE,"Budget2000";"SecondQ",#N/A,FALSE,"Budget2000";"Summary",#N/A,FALSE,"Budget2000"}</definedName>
    <definedName name="wrn.AllData." localSheetId="11" hidden="1">{"FirstQ",#N/A,FALSE,"Budget2000";"SecondQ",#N/A,FALSE,"Budget2000";"Summary",#N/A,FALSE,"Budget2000"}</definedName>
    <definedName name="wrn.AllData." localSheetId="13" hidden="1">{"FirstQ",#N/A,FALSE,"Budget2000";"SecondQ",#N/A,FALSE,"Budget2000";"Summary",#N/A,FALSE,"Budget2000"}</definedName>
    <definedName name="wrn.AllData." localSheetId="14" hidden="1">{"FirstQ",#N/A,FALSE,"Budget2000";"SecondQ",#N/A,FALSE,"Budget2000";"Summary",#N/A,FALSE,"Budget2000"}</definedName>
    <definedName name="wrn.AllData." localSheetId="15" hidden="1">{"FirstQ",#N/A,FALSE,"Budget2000";"SecondQ",#N/A,FALSE,"Budget2000";"Summary",#N/A,FALSE,"Budget2000"}</definedName>
    <definedName name="wrn.AllData." localSheetId="16" hidden="1">{"FirstQ",#N/A,FALSE,"Budget2000";"SecondQ",#N/A,FALSE,"Budget2000";"Summary",#N/A,FALSE,"Budget2000"}</definedName>
    <definedName name="wrn.AllData." localSheetId="17" hidden="1">{"FirstQ",#N/A,FALSE,"Budget2000";"SecondQ",#N/A,FALSE,"Budget2000";"Summary",#N/A,FALSE,"Budget2000"}</definedName>
    <definedName name="wrn.AllData." localSheetId="18" hidden="1">{"FirstQ",#N/A,FALSE,"Budget2000";"SecondQ",#N/A,FALSE,"Budget2000";"Summary",#N/A,FALSE,"Budget2000"}</definedName>
    <definedName name="wrn.AllData." localSheetId="19" hidden="1">{"FirstQ",#N/A,FALSE,"Budget2000";"SecondQ",#N/A,FALSE,"Budget2000";"Summary",#N/A,FALSE,"Budget2000"}</definedName>
    <definedName name="wrn.AllData." localSheetId="21" hidden="1">{"FirstQ",#N/A,FALSE,"Budget2000";"SecondQ",#N/A,FALSE,"Budget2000";"Summary",#N/A,FALSE,"Budget2000"}</definedName>
    <definedName name="wrn.AllData." localSheetId="22" hidden="1">{"FirstQ",#N/A,FALSE,"Budget2000";"SecondQ",#N/A,FALSE,"Budget2000";"Summary",#N/A,FALSE,"Budget2000"}</definedName>
    <definedName name="wrn.AllData." localSheetId="6" hidden="1">{"FirstQ",#N/A,FALSE,"Budget2000";"SecondQ",#N/A,FALSE,"Budget2000";"Summary",#N/A,FALSE,"Budget2000"}</definedName>
    <definedName name="wrn.AllData." localSheetId="7" hidden="1">{"FirstQ",#N/A,FALSE,"Budget2000";"SecondQ",#N/A,FALSE,"Budget2000";"Summary",#N/A,FALSE,"Budget2000"}</definedName>
    <definedName name="wrn.AllData." localSheetId="8" hidden="1">{"FirstQ",#N/A,FALSE,"Budget2000";"SecondQ",#N/A,FALSE,"Budget2000";"Summary",#N/A,FALSE,"Budget2000"}</definedName>
    <definedName name="wrn.AllData." localSheetId="9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0" hidden="1">{"FirstQ",#N/A,FALSE,"Budget2000";"SecondQ",#N/A,FALSE,"Budget2000"}</definedName>
    <definedName name="wrn.FirstHalf." localSheetId="11" hidden="1">{"FirstQ",#N/A,FALSE,"Budget2000";"SecondQ",#N/A,FALSE,"Budget2000"}</definedName>
    <definedName name="wrn.FirstHalf." localSheetId="13" hidden="1">{"FirstQ",#N/A,FALSE,"Budget2000";"SecondQ",#N/A,FALSE,"Budget2000"}</definedName>
    <definedName name="wrn.FirstHalf." localSheetId="14" hidden="1">{"FirstQ",#N/A,FALSE,"Budget2000";"SecondQ",#N/A,FALSE,"Budget2000"}</definedName>
    <definedName name="wrn.FirstHalf." localSheetId="15" hidden="1">{"FirstQ",#N/A,FALSE,"Budget2000";"SecondQ",#N/A,FALSE,"Budget2000"}</definedName>
    <definedName name="wrn.FirstHalf." localSheetId="16" hidden="1">{"FirstQ",#N/A,FALSE,"Budget2000";"SecondQ",#N/A,FALSE,"Budget2000"}</definedName>
    <definedName name="wrn.FirstHalf." localSheetId="17" hidden="1">{"FirstQ",#N/A,FALSE,"Budget2000";"SecondQ",#N/A,FALSE,"Budget2000"}</definedName>
    <definedName name="wrn.FirstHalf." localSheetId="18" hidden="1">{"FirstQ",#N/A,FALSE,"Budget2000";"SecondQ",#N/A,FALSE,"Budget2000"}</definedName>
    <definedName name="wrn.FirstHalf." localSheetId="19" hidden="1">{"FirstQ",#N/A,FALSE,"Budget2000";"SecondQ",#N/A,FALSE,"Budget2000"}</definedName>
    <definedName name="wrn.FirstHalf." localSheetId="21" hidden="1">{"FirstQ",#N/A,FALSE,"Budget2000";"SecondQ",#N/A,FALSE,"Budget2000"}</definedName>
    <definedName name="wrn.FirstHalf." localSheetId="22" hidden="1">{"FirstQ",#N/A,FALSE,"Budget2000";"SecondQ",#N/A,FALSE,"Budget2000"}</definedName>
    <definedName name="wrn.FirstHalf." localSheetId="6" hidden="1">{"FirstQ",#N/A,FALSE,"Budget2000";"SecondQ",#N/A,FALSE,"Budget2000"}</definedName>
    <definedName name="wrn.FirstHalf." localSheetId="7" hidden="1">{"FirstQ",#N/A,FALSE,"Budget2000";"SecondQ",#N/A,FALSE,"Budget2000"}</definedName>
    <definedName name="wrn.FirstHalf." localSheetId="8" hidden="1">{"FirstQ",#N/A,FALSE,"Budget2000";"SecondQ",#N/A,FALSE,"Budget2000"}</definedName>
    <definedName name="wrn.FirstHalf." localSheetId="9" hidden="1">{"FirstQ",#N/A,FALSE,"Budget2000";"SecondQ",#N/A,FALSE,"Budget2000"}</definedName>
    <definedName name="wrn.FirstHalf." hidden="1">{"FirstQ",#N/A,FALSE,"Budget2000";"SecondQ",#N/A,FALSE,"Budget2000"}</definedName>
    <definedName name="wwww" localSheetId="22" hidden="1">{"FirstQ",#N/A,FALSE,"Budget2000";"SecondQ",#N/A,FALSE,"Budget2000"}</definedName>
    <definedName name="wwww" hidden="1">{"FirstQ",#N/A,FALSE,"Budget2000";"SecondQ",#N/A,FALSE,"Budget2000"}</definedName>
    <definedName name="wwwwwer" localSheetId="22" hidden="1">{"FirstQ",#N/A,FALSE,"Budget2000";"SecondQ",#N/A,FALSE,"Budget2000";"Summary",#N/A,FALSE,"Budget2000"}</definedName>
    <definedName name="wwwwwer" hidden="1">{"FirstQ",#N/A,FALSE,"Budget2000";"SecondQ",#N/A,FALSE,"Budget2000";"Summary",#N/A,FALSE,"Budget2000"}</definedName>
    <definedName name="x" localSheetId="10" hidden="1">{"FirstQ",#N/A,FALSE,"Budget2000";"SecondQ",#N/A,FALSE,"Budget2000";"Summary",#N/A,FALSE,"Budget2000"}</definedName>
    <definedName name="x" localSheetId="11" hidden="1">{"FirstQ",#N/A,FALSE,"Budget2000";"SecondQ",#N/A,FALSE,"Budget2000";"Summary",#N/A,FALSE,"Budget2000"}</definedName>
    <definedName name="x" localSheetId="13" hidden="1">{"FirstQ",#N/A,FALSE,"Budget2000";"SecondQ",#N/A,FALSE,"Budget2000";"Summary",#N/A,FALSE,"Budget2000"}</definedName>
    <definedName name="x" localSheetId="14" hidden="1">{"FirstQ",#N/A,FALSE,"Budget2000";"SecondQ",#N/A,FALSE,"Budget2000";"Summary",#N/A,FALSE,"Budget2000"}</definedName>
    <definedName name="x" localSheetId="15" hidden="1">{"FirstQ",#N/A,FALSE,"Budget2000";"SecondQ",#N/A,FALSE,"Budget2000";"Summary",#N/A,FALSE,"Budget2000"}</definedName>
    <definedName name="x" localSheetId="16" hidden="1">{"FirstQ",#N/A,FALSE,"Budget2000";"SecondQ",#N/A,FALSE,"Budget2000";"Summary",#N/A,FALSE,"Budget2000"}</definedName>
    <definedName name="x" localSheetId="17" hidden="1">{"FirstQ",#N/A,FALSE,"Budget2000";"SecondQ",#N/A,FALSE,"Budget2000";"Summary",#N/A,FALSE,"Budget2000"}</definedName>
    <definedName name="x" localSheetId="18" hidden="1">{"FirstQ",#N/A,FALSE,"Budget2000";"SecondQ",#N/A,FALSE,"Budget2000";"Summary",#N/A,FALSE,"Budget2000"}</definedName>
    <definedName name="x" localSheetId="19" hidden="1">{"FirstQ",#N/A,FALSE,"Budget2000";"SecondQ",#N/A,FALSE,"Budget2000";"Summary",#N/A,FALSE,"Budget2000"}</definedName>
    <definedName name="x" localSheetId="21" hidden="1">{"FirstQ",#N/A,FALSE,"Budget2000";"SecondQ",#N/A,FALSE,"Budget2000";"Summary",#N/A,FALSE,"Budget2000"}</definedName>
    <definedName name="x" localSheetId="22" hidden="1">{"FirstQ",#N/A,FALSE,"Budget2000";"SecondQ",#N/A,FALSE,"Budget2000";"Summary",#N/A,FALSE,"Budget2000"}</definedName>
    <definedName name="x" localSheetId="6" hidden="1">{"FirstQ",#N/A,FALSE,"Budget2000";"SecondQ",#N/A,FALSE,"Budget2000";"Summary",#N/A,FALSE,"Budget2000"}</definedName>
    <definedName name="x" localSheetId="7" hidden="1">{"FirstQ",#N/A,FALSE,"Budget2000";"SecondQ",#N/A,FALSE,"Budget2000";"Summary",#N/A,FALSE,"Budget2000"}</definedName>
    <definedName name="x" localSheetId="8" hidden="1">{"FirstQ",#N/A,FALSE,"Budget2000";"SecondQ",#N/A,FALSE,"Budget2000";"Summary",#N/A,FALSE,"Budget2000"}</definedName>
    <definedName name="x" localSheetId="9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0" hidden="1">{"AllDetail",#N/A,FALSE,"Research Budget";"1stQuarter",#N/A,FALSE,"Research Budget";"2nd Quarter",#N/A,FALSE,"Research Budget";"Summary",#N/A,FALSE,"Research Budget"}</definedName>
    <definedName name="xxxxxxxxxxxxxxxxxxx" localSheetId="11" hidden="1">{"AllDetail",#N/A,FALSE,"Research Budget";"1stQuarter",#N/A,FALSE,"Research Budget";"2nd Quarter",#N/A,FALSE,"Research Budget";"Summary",#N/A,FALSE,"Research Budget"}</definedName>
    <definedName name="xxxxxxxxxxxxxxxxxxx" localSheetId="13" hidden="1">{"AllDetail",#N/A,FALSE,"Research Budget";"1stQuarter",#N/A,FALSE,"Research Budget";"2nd Quarter",#N/A,FALSE,"Research Budget";"Summary",#N/A,FALSE,"Research Budget"}</definedName>
    <definedName name="xxxxxxxxxxxxxxxxxxx" localSheetId="14" hidden="1">{"AllDetail",#N/A,FALSE,"Research Budget";"1stQuarter",#N/A,FALSE,"Research Budget";"2nd Quarter",#N/A,FALSE,"Research Budget";"Summary",#N/A,FALSE,"Research Budget"}</definedName>
    <definedName name="xxxxxxxxxxxxxxxxxxx" localSheetId="15" hidden="1">{"AllDetail",#N/A,FALSE,"Research Budget";"1stQuarter",#N/A,FALSE,"Research Budget";"2nd Quarter",#N/A,FALSE,"Research Budget";"Summary",#N/A,FALSE,"Research Budget"}</definedName>
    <definedName name="xxxxxxxxxxxxxxxxxxx" localSheetId="16" hidden="1">{"AllDetail",#N/A,FALSE,"Research Budget";"1stQuarter",#N/A,FALSE,"Research Budget";"2nd Quarter",#N/A,FALSE,"Research Budget";"Summary",#N/A,FALSE,"Research Budget"}</definedName>
    <definedName name="xxxxxxxxxxxxxxxxxxx" localSheetId="17" hidden="1">{"AllDetail",#N/A,FALSE,"Research Budget";"1stQuarter",#N/A,FALSE,"Research Budget";"2nd Quarter",#N/A,FALSE,"Research Budget";"Summary",#N/A,FALSE,"Research Budget"}</definedName>
    <definedName name="xxxxxxxxxxxxxxxxxxx" localSheetId="18" hidden="1">{"AllDetail",#N/A,FALSE,"Research Budget";"1stQuarter",#N/A,FALSE,"Research Budget";"2nd Quarter",#N/A,FALSE,"Research Budget";"Summary",#N/A,FALSE,"Research Budget"}</definedName>
    <definedName name="xxxxxxxxxxxxxxxxxxx" localSheetId="19" hidden="1">{"AllDetail",#N/A,FALSE,"Research Budget";"1stQuarter",#N/A,FALSE,"Research Budget";"2nd Quarter",#N/A,FALSE,"Research Budget";"Summary",#N/A,FALSE,"Research Budget"}</definedName>
    <definedName name="xxxxxxxxxxxxxxxxxxx" localSheetId="21" hidden="1">{"AllDetail",#N/A,FALSE,"Research Budget";"1stQuarter",#N/A,FALSE,"Research Budget";"2nd Quarter",#N/A,FALSE,"Research Budget";"Summary",#N/A,FALSE,"Research Budget"}</definedName>
    <definedName name="xxxxxxxxxxxxxxxxxxx" localSheetId="22" hidden="1">{"AllDetail",#N/A,FALSE,"Research Budget";"1stQuarter",#N/A,FALSE,"Research Budget";"2nd Quarter",#N/A,FALSE,"Research Budget";"Summary",#N/A,FALSE,"Research Budget"}</definedName>
    <definedName name="xxxxxxxxxxxxxxxxxxx" localSheetId="6" hidden="1">{"AllDetail",#N/A,FALSE,"Research Budget";"1stQuarter",#N/A,FALSE,"Research Budget";"2nd Quarter",#N/A,FALSE,"Research Budget";"Summary",#N/A,FALSE,"Research Budget"}</definedName>
    <definedName name="xxxxxxxxxxxxxxxxxxx" localSheetId="7" hidden="1">{"AllDetail",#N/A,FALSE,"Research Budget";"1stQuarter",#N/A,FALSE,"Research Budget";"2nd Quarter",#N/A,FALSE,"Research Budget";"Summary",#N/A,FALSE,"Research Budget"}</definedName>
    <definedName name="xxxxxxxxxxxxxxxxxxx" localSheetId="8" hidden="1">{"AllDetail",#N/A,FALSE,"Research Budget";"1stQuarter",#N/A,FALSE,"Research Budget";"2nd Quarter",#N/A,FALSE,"Research Budget";"Summary",#N/A,FALSE,"Research Budget"}</definedName>
    <definedName name="xxxxxxxxxxxxxxxxxxx" localSheetId="9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1" hidden="1">'11'!$A$1:$N$742</definedName>
    <definedName name="Z_32E1B1E0_F29A_4FB3_9E7F_F78F245BC75E_.wvu.FilterData" localSheetId="15" hidden="1">'14'!$A$1:$L$742</definedName>
    <definedName name="Z_32E1B1E0_F29A_4FB3_9E7F_F78F245BC75E_.wvu.FilterData" localSheetId="19" hidden="1">'18'!#REF!</definedName>
    <definedName name="Z_32E1B1E0_F29A_4FB3_9E7F_F78F245BC75E_.wvu.FilterData" localSheetId="5" hidden="1">'5'!$A$1:$O$742</definedName>
    <definedName name="Z_32E1B1E0_F29A_4FB3_9E7F_F78F245BC75E_.wvu.FilterData" localSheetId="7" hidden="1">'7'!$A$2:$O$743</definedName>
    <definedName name="Z_32E1B1E0_F29A_4FB3_9E7F_F78F245BC75E_.wvu.PrintArea" localSheetId="19" hidden="1">'18'!#REF!</definedName>
    <definedName name="Z_32E1B1E0_F29A_4FB3_9E7F_F78F245BC75E_.wvu.PrintTitles" localSheetId="19" hidden="1">'18'!$1:$1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9" l="1"/>
  <c r="F2" i="29"/>
  <c r="G2" i="29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H2" i="26" l="1"/>
  <c r="I2" i="26"/>
  <c r="H3" i="26"/>
  <c r="I3" i="26"/>
  <c r="H4" i="26"/>
  <c r="I4" i="26"/>
  <c r="H5" i="26"/>
  <c r="I5" i="26"/>
  <c r="H6" i="26"/>
  <c r="I6" i="26"/>
  <c r="H8" i="26"/>
  <c r="I8" i="26"/>
  <c r="H9" i="26"/>
  <c r="I9" i="26"/>
  <c r="H10" i="26"/>
  <c r="I10" i="26"/>
  <c r="H11" i="26"/>
  <c r="I11" i="26"/>
  <c r="H12" i="26"/>
  <c r="I12" i="26"/>
  <c r="H13" i="26"/>
  <c r="I13" i="26"/>
  <c r="H14" i="26"/>
  <c r="I14" i="26"/>
  <c r="H15" i="26"/>
  <c r="I15" i="26"/>
  <c r="H16" i="26"/>
  <c r="I16" i="26"/>
  <c r="H17" i="26"/>
  <c r="I17" i="26"/>
  <c r="H18" i="26"/>
  <c r="I18" i="26"/>
  <c r="H19" i="26"/>
  <c r="I19" i="26"/>
  <c r="H20" i="26"/>
  <c r="I20" i="26"/>
  <c r="H21" i="26"/>
  <c r="I21" i="26"/>
  <c r="H22" i="26"/>
  <c r="I22" i="26"/>
  <c r="H23" i="26"/>
  <c r="I23" i="26"/>
  <c r="H24" i="26"/>
  <c r="I24" i="26"/>
  <c r="H26" i="26"/>
  <c r="I26" i="26"/>
  <c r="H27" i="26"/>
  <c r="I27" i="26"/>
  <c r="H28" i="26"/>
  <c r="I28" i="26"/>
  <c r="H29" i="26"/>
  <c r="I29" i="26"/>
  <c r="H30" i="26"/>
  <c r="I30" i="26"/>
  <c r="H31" i="26"/>
  <c r="I31" i="26"/>
  <c r="H32" i="26"/>
  <c r="I32" i="26"/>
  <c r="H33" i="26"/>
  <c r="I33" i="26"/>
  <c r="H34" i="26"/>
  <c r="I34" i="26"/>
  <c r="H35" i="26"/>
  <c r="I35" i="26"/>
  <c r="H37" i="26"/>
  <c r="I37" i="26"/>
  <c r="H38" i="26"/>
  <c r="I38" i="26"/>
  <c r="H39" i="26"/>
  <c r="I39" i="26"/>
  <c r="H40" i="26"/>
  <c r="I40" i="26"/>
  <c r="H42" i="26"/>
  <c r="I42" i="26"/>
  <c r="H43" i="26"/>
  <c r="I43" i="26"/>
  <c r="H44" i="26"/>
  <c r="I44" i="26"/>
  <c r="H45" i="26"/>
  <c r="I45" i="26"/>
  <c r="H46" i="26"/>
  <c r="I46" i="26"/>
  <c r="H47" i="26"/>
  <c r="I47" i="26"/>
  <c r="H48" i="26"/>
  <c r="I48" i="26"/>
  <c r="H49" i="26"/>
  <c r="I49" i="26"/>
  <c r="H50" i="26"/>
  <c r="I50" i="26"/>
  <c r="H51" i="26"/>
  <c r="I51" i="26"/>
  <c r="H52" i="26"/>
  <c r="I52" i="26"/>
  <c r="H53" i="26"/>
  <c r="I53" i="26"/>
  <c r="H54" i="26"/>
  <c r="I54" i="26"/>
  <c r="H55" i="26"/>
  <c r="I55" i="26"/>
  <c r="H56" i="26"/>
  <c r="I56" i="26"/>
  <c r="H57" i="26"/>
  <c r="I57" i="26"/>
  <c r="H58" i="26"/>
  <c r="I58" i="26"/>
  <c r="H59" i="26"/>
  <c r="I59" i="26"/>
  <c r="H60" i="26"/>
  <c r="I60" i="26"/>
  <c r="H61" i="26"/>
  <c r="I61" i="26"/>
  <c r="H62" i="26"/>
  <c r="I62" i="26"/>
  <c r="H63" i="26"/>
  <c r="I63" i="26"/>
  <c r="H64" i="26"/>
  <c r="I64" i="26"/>
  <c r="H65" i="26"/>
  <c r="I65" i="26"/>
  <c r="H66" i="26"/>
  <c r="I66" i="26"/>
  <c r="H67" i="26"/>
  <c r="I67" i="26"/>
  <c r="H68" i="26"/>
  <c r="I68" i="26"/>
  <c r="H69" i="26"/>
  <c r="I69" i="26"/>
  <c r="H70" i="26"/>
  <c r="I70" i="26"/>
  <c r="H71" i="26"/>
  <c r="I71" i="26"/>
  <c r="H72" i="26"/>
  <c r="I72" i="26"/>
  <c r="H73" i="26"/>
  <c r="I73" i="26"/>
  <c r="H74" i="26"/>
  <c r="I74" i="26"/>
  <c r="H75" i="26"/>
  <c r="I75" i="26"/>
  <c r="H76" i="26"/>
  <c r="I76" i="26"/>
  <c r="H77" i="26"/>
  <c r="I77" i="26"/>
  <c r="H78" i="26"/>
  <c r="I78" i="26"/>
  <c r="H79" i="26"/>
  <c r="I79" i="26"/>
  <c r="H80" i="26"/>
  <c r="I80" i="26"/>
  <c r="H81" i="26"/>
  <c r="I81" i="26"/>
  <c r="H82" i="26"/>
  <c r="I82" i="26"/>
  <c r="H83" i="26"/>
  <c r="I83" i="26"/>
  <c r="H84" i="26"/>
  <c r="I84" i="26"/>
  <c r="H85" i="26"/>
  <c r="I85" i="26"/>
  <c r="H86" i="26"/>
  <c r="I86" i="26"/>
  <c r="H87" i="26"/>
  <c r="I87" i="26"/>
  <c r="H88" i="26"/>
  <c r="I88" i="26"/>
  <c r="H89" i="26"/>
  <c r="I89" i="26"/>
  <c r="H90" i="26"/>
  <c r="I90" i="26"/>
  <c r="H91" i="26"/>
  <c r="I91" i="26"/>
  <c r="H92" i="26"/>
  <c r="I92" i="26"/>
  <c r="H93" i="26"/>
  <c r="I93" i="26"/>
  <c r="H94" i="26"/>
  <c r="I94" i="26"/>
  <c r="H95" i="26"/>
  <c r="I95" i="26"/>
  <c r="H96" i="26"/>
  <c r="I96" i="26"/>
  <c r="H97" i="26"/>
  <c r="I97" i="26"/>
  <c r="H98" i="26"/>
  <c r="I98" i="26"/>
  <c r="H99" i="26"/>
  <c r="I99" i="26"/>
  <c r="H100" i="26"/>
  <c r="I100" i="26"/>
  <c r="H102" i="26"/>
  <c r="I102" i="26"/>
  <c r="H103" i="26"/>
  <c r="I103" i="26"/>
  <c r="H104" i="26"/>
  <c r="I104" i="26"/>
  <c r="H105" i="26"/>
  <c r="I105" i="26"/>
  <c r="H106" i="26"/>
  <c r="I106" i="26"/>
  <c r="H107" i="26"/>
  <c r="I107" i="26"/>
  <c r="H108" i="26"/>
  <c r="I108" i="26"/>
  <c r="H109" i="26"/>
  <c r="I109" i="26"/>
  <c r="H111" i="26"/>
  <c r="I111" i="26"/>
  <c r="H112" i="26"/>
  <c r="I112" i="26"/>
  <c r="H113" i="26"/>
  <c r="I113" i="26"/>
  <c r="H114" i="26"/>
  <c r="I114" i="26"/>
  <c r="H115" i="26"/>
  <c r="I115" i="26"/>
  <c r="H116" i="26"/>
  <c r="I116" i="26"/>
  <c r="H117" i="26"/>
  <c r="I117" i="26"/>
  <c r="H118" i="26"/>
  <c r="I118" i="26"/>
  <c r="H119" i="26"/>
  <c r="I119" i="26"/>
  <c r="H121" i="26"/>
  <c r="I121" i="26"/>
  <c r="H122" i="26"/>
  <c r="I122" i="26"/>
  <c r="H123" i="26"/>
  <c r="I123" i="26"/>
  <c r="H124" i="26"/>
  <c r="I124" i="26"/>
  <c r="H125" i="26"/>
  <c r="I125" i="26"/>
  <c r="H126" i="26"/>
  <c r="I126" i="26"/>
  <c r="H127" i="26"/>
  <c r="I127" i="26"/>
  <c r="H128" i="26"/>
  <c r="I128" i="26"/>
  <c r="H129" i="26"/>
  <c r="I129" i="26"/>
  <c r="H130" i="26"/>
  <c r="I130" i="26"/>
  <c r="H131" i="26"/>
  <c r="I131" i="26"/>
  <c r="H132" i="26"/>
  <c r="I132" i="26"/>
  <c r="H133" i="26"/>
  <c r="I133" i="26"/>
  <c r="H134" i="26"/>
  <c r="I134" i="26"/>
  <c r="H135" i="26"/>
  <c r="I135" i="26"/>
  <c r="H136" i="26"/>
  <c r="I136" i="26"/>
  <c r="H137" i="26"/>
  <c r="I137" i="26"/>
  <c r="H138" i="26"/>
  <c r="I138" i="26"/>
  <c r="H139" i="26"/>
  <c r="I139" i="26"/>
  <c r="H141" i="26"/>
  <c r="I141" i="26"/>
  <c r="H142" i="26"/>
  <c r="I142" i="26"/>
  <c r="H143" i="26"/>
  <c r="I143" i="26"/>
  <c r="H144" i="26"/>
  <c r="I144" i="26"/>
  <c r="H145" i="26"/>
  <c r="I145" i="26"/>
  <c r="H147" i="26"/>
  <c r="I147" i="26"/>
  <c r="H148" i="26"/>
  <c r="I148" i="26"/>
  <c r="H149" i="26"/>
  <c r="I149" i="26"/>
  <c r="H150" i="26"/>
  <c r="I150" i="26"/>
  <c r="H151" i="26"/>
  <c r="I151" i="26"/>
  <c r="H152" i="26"/>
  <c r="I152" i="26"/>
  <c r="H153" i="26"/>
  <c r="I153" i="26"/>
  <c r="H154" i="26"/>
  <c r="I154" i="26"/>
  <c r="H155" i="26"/>
  <c r="I155" i="26"/>
  <c r="H156" i="26"/>
  <c r="I156" i="26"/>
  <c r="H157" i="26"/>
  <c r="I157" i="26"/>
  <c r="H158" i="26"/>
  <c r="I158" i="26"/>
  <c r="H159" i="26"/>
  <c r="I159" i="26"/>
  <c r="H160" i="26"/>
  <c r="I160" i="26"/>
  <c r="H161" i="26"/>
  <c r="I161" i="26"/>
  <c r="H162" i="26"/>
  <c r="I162" i="26"/>
  <c r="H163" i="26"/>
  <c r="I163" i="26"/>
  <c r="H164" i="26"/>
  <c r="I164" i="26"/>
  <c r="H165" i="26"/>
  <c r="I165" i="26"/>
  <c r="H166" i="26"/>
  <c r="I166" i="26"/>
  <c r="H167" i="26"/>
  <c r="I167" i="26"/>
  <c r="H168" i="26"/>
  <c r="I168" i="26"/>
  <c r="H169" i="26"/>
  <c r="I169" i="26"/>
  <c r="H170" i="26"/>
  <c r="I170" i="26"/>
  <c r="H171" i="26"/>
  <c r="I171" i="26"/>
  <c r="H172" i="26"/>
  <c r="I172" i="26"/>
  <c r="H173" i="26"/>
  <c r="I173" i="26"/>
  <c r="H174" i="26"/>
  <c r="I174" i="26"/>
  <c r="H175" i="26"/>
  <c r="I175" i="26"/>
  <c r="H176" i="26"/>
  <c r="I176" i="26"/>
  <c r="H177" i="26"/>
  <c r="I177" i="26"/>
  <c r="H178" i="26"/>
  <c r="I178" i="26"/>
  <c r="H179" i="26"/>
  <c r="I179" i="26"/>
  <c r="H180" i="26"/>
  <c r="I180" i="26"/>
  <c r="H181" i="26"/>
  <c r="I181" i="26"/>
  <c r="H182" i="26"/>
  <c r="I182" i="26"/>
  <c r="H183" i="26"/>
  <c r="I183" i="26"/>
  <c r="H184" i="26"/>
  <c r="I184" i="26"/>
  <c r="H186" i="26"/>
  <c r="I186" i="26"/>
  <c r="H187" i="26"/>
  <c r="I187" i="26"/>
  <c r="H188" i="26"/>
  <c r="I188" i="26"/>
  <c r="H189" i="26"/>
  <c r="I189" i="26"/>
  <c r="H190" i="26"/>
  <c r="I190" i="26"/>
  <c r="H191" i="26"/>
  <c r="I191" i="26"/>
  <c r="H192" i="26"/>
  <c r="I192" i="26"/>
  <c r="H193" i="26"/>
  <c r="I193" i="26"/>
  <c r="H195" i="26"/>
  <c r="I195" i="26"/>
  <c r="H196" i="26"/>
  <c r="I196" i="26"/>
  <c r="H197" i="26"/>
  <c r="I197" i="26"/>
  <c r="H198" i="26"/>
  <c r="I198" i="26"/>
  <c r="H199" i="26"/>
  <c r="I199" i="26"/>
  <c r="H200" i="26"/>
  <c r="I200" i="26"/>
  <c r="H201" i="26"/>
  <c r="I201" i="26"/>
  <c r="H202" i="26"/>
  <c r="I202" i="26"/>
  <c r="H203" i="26"/>
  <c r="I203" i="26"/>
  <c r="H204" i="26"/>
  <c r="I204" i="26"/>
  <c r="H205" i="26"/>
  <c r="I205" i="26"/>
  <c r="H206" i="26"/>
  <c r="I206" i="26"/>
  <c r="H207" i="26"/>
  <c r="I207" i="26"/>
  <c r="H208" i="26"/>
  <c r="I208" i="26"/>
  <c r="H209" i="26"/>
  <c r="I209" i="26"/>
  <c r="H210" i="26"/>
  <c r="I210" i="26"/>
  <c r="H211" i="26"/>
  <c r="I211" i="26"/>
  <c r="H212" i="26"/>
  <c r="I212" i="26"/>
  <c r="H213" i="26"/>
  <c r="I213" i="26"/>
  <c r="H214" i="26"/>
  <c r="I214" i="26"/>
  <c r="H215" i="26"/>
  <c r="I215" i="26"/>
  <c r="H216" i="26"/>
  <c r="I216" i="26"/>
  <c r="H217" i="26"/>
  <c r="I217" i="26"/>
  <c r="H218" i="26"/>
  <c r="I218" i="26"/>
  <c r="H219" i="26"/>
  <c r="I219" i="26"/>
  <c r="H220" i="26"/>
  <c r="I220" i="26"/>
  <c r="H221" i="26"/>
  <c r="I221" i="26"/>
  <c r="H222" i="26"/>
  <c r="I222" i="26"/>
  <c r="H223" i="26"/>
  <c r="I223" i="26"/>
  <c r="H224" i="26"/>
  <c r="I224" i="26"/>
  <c r="H225" i="26"/>
  <c r="I225" i="26"/>
  <c r="H226" i="26"/>
  <c r="I226" i="26"/>
  <c r="H227" i="26"/>
  <c r="I227" i="26"/>
  <c r="H228" i="26"/>
  <c r="I228" i="26"/>
  <c r="H229" i="26"/>
  <c r="I229" i="26"/>
  <c r="H230" i="26"/>
  <c r="I230" i="26"/>
  <c r="H231" i="26"/>
  <c r="I231" i="26"/>
  <c r="H232" i="26"/>
  <c r="I232" i="26"/>
  <c r="H233" i="26"/>
  <c r="I233" i="26"/>
  <c r="H234" i="26"/>
  <c r="I234" i="26"/>
  <c r="H235" i="26"/>
  <c r="I235" i="26"/>
  <c r="H236" i="26"/>
  <c r="I236" i="26"/>
  <c r="H237" i="26"/>
  <c r="I237" i="26"/>
  <c r="H238" i="26"/>
  <c r="I238" i="26"/>
  <c r="H239" i="26"/>
  <c r="I239" i="26"/>
  <c r="H240" i="26"/>
  <c r="I240" i="26"/>
  <c r="H241" i="26"/>
  <c r="I241" i="26"/>
  <c r="H242" i="26"/>
  <c r="I242" i="26"/>
  <c r="H243" i="26"/>
  <c r="I243" i="26"/>
  <c r="H244" i="26"/>
  <c r="I244" i="26"/>
  <c r="H245" i="26"/>
  <c r="I245" i="26"/>
  <c r="H246" i="26"/>
  <c r="I246" i="26"/>
  <c r="H247" i="26"/>
  <c r="I247" i="26"/>
  <c r="H248" i="26"/>
  <c r="I248" i="26"/>
  <c r="H249" i="26"/>
  <c r="I249" i="26"/>
  <c r="H250" i="26"/>
  <c r="I250" i="26"/>
  <c r="H251" i="26"/>
  <c r="I251" i="26"/>
  <c r="H252" i="26"/>
  <c r="I252" i="26"/>
  <c r="H253" i="26"/>
  <c r="I253" i="26"/>
  <c r="H254" i="26"/>
  <c r="I254" i="26"/>
  <c r="H255" i="26"/>
  <c r="I255" i="26"/>
  <c r="H256" i="26"/>
  <c r="I256" i="26"/>
  <c r="H257" i="26"/>
  <c r="I257" i="26"/>
  <c r="H258" i="26"/>
  <c r="I258" i="26"/>
  <c r="H259" i="26"/>
  <c r="I259" i="26"/>
  <c r="H260" i="26"/>
  <c r="I260" i="26"/>
  <c r="H261" i="26"/>
  <c r="I261" i="26"/>
  <c r="H262" i="26"/>
  <c r="I262" i="26"/>
  <c r="H263" i="26"/>
  <c r="I263" i="26"/>
  <c r="H264" i="26"/>
  <c r="I264" i="26"/>
  <c r="H265" i="26"/>
  <c r="I265" i="26"/>
  <c r="H266" i="26"/>
  <c r="I266" i="26"/>
  <c r="H267" i="26"/>
  <c r="I267" i="26"/>
  <c r="H268" i="26"/>
  <c r="I268" i="26"/>
  <c r="H269" i="26"/>
  <c r="I269" i="26"/>
  <c r="H270" i="26"/>
  <c r="I270" i="26"/>
  <c r="H271" i="26"/>
  <c r="I271" i="26"/>
  <c r="H272" i="26"/>
  <c r="I272" i="26"/>
  <c r="H273" i="26"/>
  <c r="I273" i="26"/>
  <c r="H274" i="26"/>
  <c r="I274" i="26"/>
  <c r="H275" i="26"/>
  <c r="I275" i="26"/>
  <c r="H276" i="26"/>
  <c r="I276" i="26"/>
  <c r="H277" i="26"/>
  <c r="I277" i="26"/>
  <c r="H278" i="26"/>
  <c r="I278" i="26"/>
  <c r="H279" i="26"/>
  <c r="I279" i="26"/>
  <c r="H280" i="26"/>
  <c r="I280" i="26"/>
  <c r="H281" i="26"/>
  <c r="I281" i="26"/>
  <c r="H282" i="26"/>
  <c r="I282" i="26"/>
  <c r="H283" i="26"/>
  <c r="I283" i="26"/>
  <c r="H284" i="26"/>
  <c r="I284" i="26"/>
  <c r="H285" i="26"/>
  <c r="I285" i="26"/>
  <c r="H286" i="26"/>
  <c r="I286" i="26"/>
  <c r="H287" i="26"/>
  <c r="I287" i="26"/>
  <c r="H288" i="26"/>
  <c r="I288" i="26"/>
  <c r="H289" i="26"/>
  <c r="I289" i="26"/>
  <c r="H290" i="26"/>
  <c r="I290" i="26"/>
  <c r="H291" i="26"/>
  <c r="I291" i="26"/>
  <c r="H292" i="26"/>
  <c r="I292" i="26"/>
  <c r="H293" i="26"/>
  <c r="I293" i="26"/>
  <c r="H294" i="26"/>
  <c r="I294" i="26"/>
  <c r="H295" i="26"/>
  <c r="I295" i="26"/>
  <c r="H296" i="26"/>
  <c r="I296" i="26"/>
  <c r="H297" i="26"/>
  <c r="I297" i="26"/>
  <c r="H298" i="26"/>
  <c r="I298" i="26"/>
  <c r="H299" i="26"/>
  <c r="I299" i="26"/>
  <c r="H300" i="26"/>
  <c r="I300" i="26"/>
  <c r="H301" i="26"/>
  <c r="I301" i="26"/>
  <c r="H302" i="26"/>
  <c r="I302" i="26"/>
  <c r="H303" i="26"/>
  <c r="I303" i="26"/>
  <c r="H304" i="26"/>
  <c r="I304" i="26"/>
  <c r="H305" i="26"/>
  <c r="I305" i="26"/>
  <c r="H306" i="26"/>
  <c r="I306" i="26"/>
  <c r="H307" i="26"/>
  <c r="I307" i="26"/>
  <c r="H308" i="26"/>
  <c r="I308" i="26"/>
  <c r="H309" i="26"/>
  <c r="I309" i="26"/>
  <c r="H310" i="26"/>
  <c r="I310" i="26"/>
  <c r="H311" i="26"/>
  <c r="I311" i="26"/>
  <c r="H312" i="26"/>
  <c r="I312" i="26"/>
  <c r="H313" i="26"/>
  <c r="I313" i="26"/>
  <c r="H314" i="26"/>
  <c r="I314" i="26"/>
  <c r="H315" i="26"/>
  <c r="I315" i="26"/>
  <c r="H316" i="26"/>
  <c r="I316" i="26"/>
  <c r="H317" i="26"/>
  <c r="I317" i="26"/>
  <c r="H318" i="26"/>
  <c r="I318" i="26"/>
  <c r="H319" i="26"/>
  <c r="I319" i="26"/>
  <c r="H320" i="26"/>
  <c r="I320" i="26"/>
  <c r="H321" i="26"/>
  <c r="I321" i="26"/>
  <c r="H322" i="26"/>
  <c r="I322" i="26"/>
  <c r="H323" i="26"/>
  <c r="I323" i="26"/>
  <c r="H324" i="26"/>
  <c r="I324" i="26"/>
  <c r="H325" i="26"/>
  <c r="I325" i="26"/>
  <c r="H326" i="26"/>
  <c r="I326" i="26"/>
  <c r="H327" i="26"/>
  <c r="I327" i="26"/>
  <c r="H328" i="26"/>
  <c r="I328" i="26"/>
  <c r="H329" i="26"/>
  <c r="I329" i="26"/>
  <c r="H330" i="26"/>
  <c r="I330" i="26"/>
  <c r="H331" i="26"/>
  <c r="I331" i="26"/>
  <c r="H332" i="26"/>
  <c r="I332" i="26"/>
  <c r="H333" i="26"/>
  <c r="I333" i="26"/>
  <c r="H334" i="26"/>
  <c r="I334" i="26"/>
  <c r="H335" i="26"/>
  <c r="I335" i="26"/>
  <c r="H336" i="26"/>
  <c r="I336" i="26"/>
  <c r="H337" i="26"/>
  <c r="I337" i="26"/>
  <c r="H338" i="26"/>
  <c r="I338" i="26"/>
  <c r="H339" i="26"/>
  <c r="I339" i="26"/>
  <c r="H340" i="26"/>
  <c r="I340" i="26"/>
  <c r="H341" i="26"/>
  <c r="I341" i="26"/>
  <c r="H342" i="26"/>
  <c r="I342" i="26"/>
  <c r="H343" i="26"/>
  <c r="I343" i="26"/>
  <c r="H344" i="26"/>
  <c r="I344" i="26"/>
  <c r="H345" i="26"/>
  <c r="I345" i="26"/>
  <c r="H347" i="26"/>
  <c r="I347" i="26"/>
  <c r="H348" i="26"/>
  <c r="I348" i="26"/>
  <c r="H349" i="26"/>
  <c r="I349" i="26"/>
  <c r="H350" i="26"/>
  <c r="I350" i="26"/>
  <c r="H351" i="26"/>
  <c r="I351" i="26"/>
  <c r="H352" i="26"/>
  <c r="I352" i="26"/>
  <c r="H353" i="26"/>
  <c r="I353" i="26"/>
  <c r="H355" i="26"/>
  <c r="I355" i="26"/>
  <c r="H356" i="26"/>
  <c r="I356" i="26"/>
  <c r="H357" i="26"/>
  <c r="I357" i="26"/>
  <c r="H358" i="26"/>
  <c r="I358" i="26"/>
  <c r="H359" i="26"/>
  <c r="I359" i="26"/>
  <c r="H360" i="26"/>
  <c r="I360" i="26"/>
  <c r="H361" i="26"/>
  <c r="I361" i="26"/>
  <c r="H362" i="26"/>
  <c r="I362" i="26"/>
  <c r="H363" i="26"/>
  <c r="I363" i="26"/>
  <c r="H364" i="26"/>
  <c r="I364" i="26"/>
  <c r="H365" i="26"/>
  <c r="I365" i="26"/>
  <c r="H366" i="26"/>
  <c r="I366" i="26"/>
  <c r="H367" i="26"/>
  <c r="I367" i="26"/>
  <c r="H368" i="26"/>
  <c r="I368" i="26"/>
  <c r="H369" i="26"/>
  <c r="I369" i="26"/>
  <c r="H370" i="26"/>
  <c r="I370" i="26"/>
  <c r="H371" i="26"/>
  <c r="I371" i="26"/>
  <c r="H372" i="26"/>
  <c r="I372" i="26"/>
  <c r="H373" i="26"/>
  <c r="I373" i="26"/>
  <c r="H374" i="26"/>
  <c r="I374" i="26"/>
  <c r="H375" i="26"/>
  <c r="I375" i="26"/>
  <c r="H376" i="26"/>
  <c r="I376" i="26"/>
  <c r="H377" i="26"/>
  <c r="I377" i="26"/>
  <c r="H378" i="26"/>
  <c r="I378" i="26"/>
  <c r="H379" i="26"/>
  <c r="I379" i="26"/>
  <c r="H380" i="26"/>
  <c r="I380" i="26"/>
  <c r="H381" i="26"/>
  <c r="I381" i="26"/>
  <c r="H382" i="26"/>
  <c r="I382" i="26"/>
  <c r="H383" i="26"/>
  <c r="I383" i="26"/>
  <c r="H384" i="26"/>
  <c r="I384" i="26"/>
  <c r="H385" i="26"/>
  <c r="I385" i="26"/>
  <c r="H386" i="26"/>
  <c r="I386" i="26"/>
  <c r="H387" i="26"/>
  <c r="I387" i="26"/>
  <c r="H388" i="26"/>
  <c r="I388" i="26"/>
  <c r="H389" i="26"/>
  <c r="I389" i="26"/>
  <c r="H390" i="26"/>
  <c r="I390" i="26"/>
  <c r="H391" i="26"/>
  <c r="I391" i="26"/>
  <c r="H392" i="26"/>
  <c r="I392" i="26"/>
  <c r="H393" i="26"/>
  <c r="I393" i="26"/>
  <c r="H394" i="26"/>
  <c r="I394" i="26"/>
  <c r="H395" i="26"/>
  <c r="I395" i="26"/>
  <c r="H396" i="26"/>
  <c r="I396" i="26"/>
  <c r="H397" i="26"/>
  <c r="I397" i="26"/>
  <c r="H398" i="26"/>
  <c r="I398" i="26"/>
  <c r="H399" i="26"/>
  <c r="I399" i="26"/>
  <c r="H400" i="26"/>
  <c r="I400" i="26"/>
  <c r="H401" i="26"/>
  <c r="I401" i="26"/>
  <c r="H402" i="26"/>
  <c r="I402" i="26"/>
  <c r="H403" i="26"/>
  <c r="I403" i="26"/>
  <c r="H404" i="26"/>
  <c r="I404" i="26"/>
  <c r="H405" i="26"/>
  <c r="I405" i="26"/>
  <c r="H407" i="26"/>
  <c r="I407" i="26"/>
  <c r="H408" i="26"/>
  <c r="I408" i="26"/>
  <c r="H409" i="26"/>
  <c r="I409" i="26"/>
  <c r="H410" i="26"/>
  <c r="I410" i="26"/>
  <c r="H411" i="26"/>
  <c r="I411" i="26"/>
  <c r="H412" i="26"/>
  <c r="I412" i="26"/>
  <c r="H413" i="26"/>
  <c r="I413" i="26"/>
  <c r="H414" i="26"/>
  <c r="I414" i="26"/>
  <c r="H415" i="26"/>
  <c r="I415" i="26"/>
  <c r="H416" i="26"/>
  <c r="I416" i="26"/>
  <c r="H417" i="26"/>
  <c r="I417" i="26"/>
  <c r="H418" i="26"/>
  <c r="I418" i="26"/>
  <c r="H419" i="26"/>
  <c r="I419" i="26"/>
  <c r="H420" i="26"/>
  <c r="I420" i="26"/>
  <c r="H421" i="26"/>
  <c r="I421" i="26"/>
  <c r="H422" i="26"/>
  <c r="I422" i="26"/>
  <c r="H423" i="26"/>
  <c r="I423" i="26"/>
  <c r="H424" i="26"/>
  <c r="I424" i="26"/>
  <c r="H425" i="26"/>
  <c r="I425" i="26"/>
  <c r="H426" i="26"/>
  <c r="I426" i="26"/>
  <c r="H427" i="26"/>
  <c r="I427" i="26"/>
  <c r="H429" i="26"/>
  <c r="I429" i="26"/>
  <c r="H430" i="26"/>
  <c r="I430" i="26"/>
  <c r="H431" i="26"/>
  <c r="I431" i="26"/>
  <c r="H432" i="26"/>
  <c r="I432" i="26"/>
  <c r="H434" i="26"/>
  <c r="I434" i="26"/>
  <c r="H435" i="26"/>
  <c r="I435" i="26"/>
  <c r="H436" i="26"/>
  <c r="I436" i="26"/>
  <c r="H437" i="26"/>
  <c r="I437" i="26"/>
  <c r="H438" i="26"/>
  <c r="I438" i="26"/>
  <c r="H439" i="26"/>
  <c r="I439" i="26"/>
  <c r="H440" i="26"/>
  <c r="I440" i="26"/>
  <c r="H441" i="26"/>
  <c r="I441" i="26"/>
  <c r="H442" i="26"/>
  <c r="I442" i="26"/>
  <c r="H443" i="26"/>
  <c r="I443" i="26"/>
  <c r="H444" i="26"/>
  <c r="I444" i="26"/>
  <c r="H445" i="26"/>
  <c r="I445" i="26"/>
  <c r="H446" i="26"/>
  <c r="I446" i="26"/>
  <c r="H447" i="26"/>
  <c r="I447" i="26"/>
  <c r="H448" i="26"/>
  <c r="I448" i="26"/>
  <c r="H449" i="26"/>
  <c r="I449" i="26"/>
  <c r="H450" i="26"/>
  <c r="I450" i="26"/>
  <c r="H451" i="26"/>
  <c r="I451" i="26"/>
  <c r="H452" i="26"/>
  <c r="I452" i="26"/>
  <c r="H453" i="26"/>
  <c r="I453" i="26"/>
  <c r="H454" i="26"/>
  <c r="I454" i="26"/>
  <c r="H455" i="26"/>
  <c r="I455" i="26"/>
  <c r="H456" i="26"/>
  <c r="I456" i="26"/>
  <c r="H457" i="26"/>
  <c r="I457" i="26"/>
  <c r="H458" i="26"/>
  <c r="I458" i="26"/>
  <c r="H459" i="26"/>
  <c r="I459" i="26"/>
  <c r="H460" i="26"/>
  <c r="I460" i="26"/>
  <c r="H461" i="26"/>
  <c r="I461" i="26"/>
  <c r="H462" i="26"/>
  <c r="I462" i="26"/>
  <c r="H463" i="26"/>
  <c r="I463" i="26"/>
  <c r="H464" i="26"/>
  <c r="I464" i="26"/>
  <c r="H465" i="26"/>
  <c r="I465" i="26"/>
  <c r="H466" i="26"/>
  <c r="I466" i="26"/>
  <c r="H467" i="26"/>
  <c r="I467" i="26"/>
  <c r="H468" i="26"/>
  <c r="I468" i="26"/>
  <c r="H469" i="26"/>
  <c r="I469" i="26"/>
  <c r="H470" i="26"/>
  <c r="I470" i="26"/>
  <c r="H471" i="26"/>
  <c r="I471" i="26"/>
  <c r="H472" i="26"/>
  <c r="I472" i="26"/>
  <c r="H473" i="26"/>
  <c r="I473" i="26"/>
  <c r="H474" i="26"/>
  <c r="I474" i="26"/>
  <c r="H475" i="26"/>
  <c r="I475" i="26"/>
  <c r="H476" i="26"/>
  <c r="I476" i="26"/>
  <c r="H477" i="26"/>
  <c r="I477" i="26"/>
  <c r="H479" i="26"/>
  <c r="I479" i="26"/>
  <c r="H480" i="26"/>
  <c r="I480" i="26"/>
  <c r="H481" i="26"/>
  <c r="I481" i="26"/>
  <c r="H482" i="26"/>
  <c r="I482" i="26"/>
  <c r="H483" i="26"/>
  <c r="I483" i="26"/>
  <c r="H484" i="26"/>
  <c r="I484" i="26"/>
  <c r="H485" i="26"/>
  <c r="I485" i="26"/>
  <c r="H486" i="26"/>
  <c r="I486" i="26"/>
  <c r="H487" i="26"/>
  <c r="I487" i="26"/>
  <c r="H488" i="26"/>
  <c r="I488" i="26"/>
  <c r="H489" i="26"/>
  <c r="I489" i="26"/>
  <c r="H490" i="26"/>
  <c r="I490" i="26"/>
  <c r="H491" i="26"/>
  <c r="I491" i="26"/>
  <c r="H492" i="26"/>
  <c r="I492" i="26"/>
  <c r="H493" i="26"/>
  <c r="I493" i="26"/>
  <c r="H494" i="26"/>
  <c r="I494" i="26"/>
  <c r="H496" i="26"/>
  <c r="I496" i="26"/>
  <c r="H497" i="26"/>
  <c r="I497" i="26"/>
  <c r="H498" i="26"/>
  <c r="I498" i="26"/>
  <c r="H499" i="26"/>
  <c r="I499" i="26"/>
  <c r="H500" i="26"/>
  <c r="I500" i="26"/>
  <c r="H501" i="26"/>
  <c r="I501" i="26"/>
  <c r="H502" i="26"/>
  <c r="I502" i="26"/>
  <c r="H503" i="26"/>
  <c r="I503" i="26"/>
  <c r="H504" i="26"/>
  <c r="I504" i="26"/>
  <c r="H505" i="26"/>
  <c r="I505" i="26"/>
  <c r="H506" i="26"/>
  <c r="I506" i="26"/>
  <c r="H507" i="26"/>
  <c r="I507" i="26"/>
  <c r="H508" i="26"/>
  <c r="I508" i="26"/>
  <c r="H509" i="26"/>
  <c r="I509" i="26"/>
  <c r="H510" i="26"/>
  <c r="I510" i="26"/>
  <c r="H511" i="26"/>
  <c r="I511" i="26"/>
  <c r="H512" i="26"/>
  <c r="I512" i="26"/>
  <c r="H513" i="26"/>
  <c r="I513" i="26"/>
  <c r="H514" i="26"/>
  <c r="I514" i="26"/>
  <c r="H515" i="26"/>
  <c r="I515" i="26"/>
  <c r="H516" i="26"/>
  <c r="I516" i="26"/>
  <c r="H517" i="26"/>
  <c r="I517" i="26"/>
  <c r="H518" i="26"/>
  <c r="I518" i="26"/>
  <c r="H519" i="26"/>
  <c r="I519" i="26"/>
  <c r="H520" i="26"/>
  <c r="I520" i="26"/>
  <c r="H521" i="26"/>
  <c r="I521" i="26"/>
  <c r="H522" i="26"/>
  <c r="I522" i="26"/>
  <c r="H523" i="26"/>
  <c r="I523" i="26"/>
  <c r="H524" i="26"/>
  <c r="I524" i="26"/>
  <c r="H525" i="26"/>
  <c r="I525" i="26"/>
  <c r="H526" i="26"/>
  <c r="I526" i="26"/>
  <c r="H527" i="26"/>
  <c r="I527" i="26"/>
  <c r="H528" i="26"/>
  <c r="I528" i="26"/>
  <c r="H529" i="26"/>
  <c r="I529" i="26"/>
  <c r="H530" i="26"/>
  <c r="I530" i="26"/>
  <c r="H531" i="26"/>
  <c r="I531" i="26"/>
  <c r="H532" i="26"/>
  <c r="I532" i="26"/>
  <c r="H533" i="26"/>
  <c r="I533" i="26"/>
  <c r="H534" i="26"/>
  <c r="I534" i="26"/>
  <c r="H535" i="26"/>
  <c r="I535" i="26"/>
  <c r="H536" i="26"/>
  <c r="I536" i="26"/>
  <c r="H537" i="26"/>
  <c r="I537" i="26"/>
  <c r="H538" i="26"/>
  <c r="I538" i="26"/>
  <c r="H539" i="26"/>
  <c r="I539" i="26"/>
  <c r="H540" i="26"/>
  <c r="I540" i="26"/>
  <c r="H541" i="26"/>
  <c r="I541" i="26"/>
  <c r="H542" i="26"/>
  <c r="I542" i="26"/>
  <c r="H543" i="26"/>
  <c r="I543" i="26"/>
  <c r="H544" i="26"/>
  <c r="I544" i="26"/>
  <c r="H545" i="26"/>
  <c r="I545" i="26"/>
  <c r="H546" i="26"/>
  <c r="I546" i="26"/>
  <c r="H547" i="26"/>
  <c r="I547" i="26"/>
  <c r="H548" i="26"/>
  <c r="I548" i="26"/>
  <c r="H549" i="26"/>
  <c r="I549" i="26"/>
  <c r="H550" i="26"/>
  <c r="I550" i="26"/>
  <c r="H551" i="26"/>
  <c r="I551" i="26"/>
  <c r="H552" i="26"/>
  <c r="I552" i="26"/>
  <c r="H553" i="26"/>
  <c r="I553" i="26"/>
  <c r="H554" i="26"/>
  <c r="I554" i="26"/>
  <c r="H555" i="26"/>
  <c r="I555" i="26"/>
  <c r="H556" i="26"/>
  <c r="I556" i="26"/>
  <c r="H557" i="26"/>
  <c r="I557" i="26"/>
  <c r="H558" i="26"/>
  <c r="I558" i="26"/>
  <c r="H559" i="26"/>
  <c r="I559" i="26"/>
  <c r="H560" i="26"/>
  <c r="I560" i="26"/>
  <c r="H561" i="26"/>
  <c r="I561" i="26"/>
  <c r="H562" i="26"/>
  <c r="I562" i="26"/>
  <c r="H563" i="26"/>
  <c r="I563" i="26"/>
  <c r="H564" i="26"/>
  <c r="I564" i="26"/>
  <c r="H565" i="26"/>
  <c r="I565" i="26"/>
  <c r="H566" i="26"/>
  <c r="I566" i="26"/>
  <c r="H567" i="26"/>
  <c r="I567" i="26"/>
  <c r="H568" i="26"/>
  <c r="I568" i="26"/>
  <c r="H569" i="26"/>
  <c r="I569" i="26"/>
  <c r="H570" i="26"/>
  <c r="I570" i="26"/>
  <c r="H571" i="26"/>
  <c r="I571" i="26"/>
  <c r="H572" i="26"/>
  <c r="I572" i="26"/>
  <c r="H573" i="26"/>
  <c r="I573" i="26"/>
  <c r="H574" i="26"/>
  <c r="I574" i="26"/>
  <c r="H575" i="26"/>
  <c r="I575" i="26"/>
  <c r="H576" i="26"/>
  <c r="I576" i="26"/>
  <c r="H577" i="26"/>
  <c r="I577" i="26"/>
  <c r="H578" i="26"/>
  <c r="I578" i="26"/>
  <c r="H579" i="26"/>
  <c r="I579" i="26"/>
  <c r="H580" i="26"/>
  <c r="I580" i="26"/>
  <c r="H581" i="26"/>
  <c r="I581" i="26"/>
  <c r="H582" i="26"/>
  <c r="I582" i="26"/>
  <c r="H583" i="26"/>
  <c r="I583" i="26"/>
  <c r="H585" i="26"/>
  <c r="I585" i="26"/>
  <c r="H586" i="26"/>
  <c r="I586" i="26"/>
  <c r="H587" i="26"/>
  <c r="I587" i="26"/>
  <c r="H588" i="26"/>
  <c r="I588" i="26"/>
  <c r="H589" i="26"/>
  <c r="I589" i="26"/>
  <c r="H590" i="26"/>
  <c r="I590" i="26"/>
  <c r="H591" i="26"/>
  <c r="I591" i="26"/>
  <c r="H592" i="26"/>
  <c r="I592" i="26"/>
  <c r="H593" i="26"/>
  <c r="I593" i="26"/>
  <c r="H594" i="26"/>
  <c r="I594" i="26"/>
  <c r="H595" i="26"/>
  <c r="I595" i="26"/>
  <c r="H596" i="26"/>
  <c r="I596" i="26"/>
  <c r="H597" i="26"/>
  <c r="I597" i="26"/>
  <c r="H598" i="26"/>
  <c r="I598" i="26"/>
  <c r="H599" i="26"/>
  <c r="I599" i="26"/>
  <c r="H600" i="26"/>
  <c r="I600" i="26"/>
  <c r="H601" i="26"/>
  <c r="I601" i="26"/>
  <c r="H602" i="26"/>
  <c r="I602" i="26"/>
  <c r="H603" i="26"/>
  <c r="I603" i="26"/>
  <c r="H604" i="26"/>
  <c r="I604" i="26"/>
  <c r="H605" i="26"/>
  <c r="I605" i="26"/>
  <c r="H606" i="26"/>
  <c r="I606" i="26"/>
  <c r="H607" i="26"/>
  <c r="I607" i="26"/>
  <c r="H608" i="26"/>
  <c r="I608" i="26"/>
  <c r="H609" i="26"/>
  <c r="I609" i="26"/>
  <c r="H610" i="26"/>
  <c r="I610" i="26"/>
  <c r="H611" i="26"/>
  <c r="I611" i="26"/>
  <c r="H612" i="26"/>
  <c r="I612" i="26"/>
  <c r="H613" i="26"/>
  <c r="I613" i="26"/>
  <c r="H614" i="26"/>
  <c r="I614" i="26"/>
  <c r="H615" i="26"/>
  <c r="I615" i="26"/>
  <c r="H616" i="26"/>
  <c r="I616" i="26"/>
  <c r="H617" i="26"/>
  <c r="I617" i="26"/>
  <c r="H618" i="26"/>
  <c r="I618" i="26"/>
  <c r="H619" i="26"/>
  <c r="I619" i="26"/>
  <c r="H620" i="26"/>
  <c r="I620" i="26"/>
  <c r="H621" i="26"/>
  <c r="I621" i="26"/>
  <c r="H622" i="26"/>
  <c r="I622" i="26"/>
  <c r="H623" i="26"/>
  <c r="I623" i="26"/>
  <c r="H624" i="26"/>
  <c r="I624" i="26"/>
  <c r="H625" i="26"/>
  <c r="I625" i="26"/>
  <c r="H626" i="26"/>
  <c r="I626" i="26"/>
  <c r="H627" i="26"/>
  <c r="I627" i="26"/>
  <c r="H628" i="26"/>
  <c r="I628" i="26"/>
  <c r="H629" i="26"/>
  <c r="I629" i="26"/>
  <c r="H630" i="26"/>
  <c r="I630" i="26"/>
  <c r="H631" i="26"/>
  <c r="I631" i="26"/>
  <c r="H632" i="26"/>
  <c r="I632" i="26"/>
  <c r="H633" i="26"/>
  <c r="I633" i="26"/>
  <c r="H634" i="26"/>
  <c r="I634" i="26"/>
  <c r="H635" i="26"/>
  <c r="I635" i="26"/>
  <c r="H636" i="26"/>
  <c r="I636" i="26"/>
  <c r="H637" i="26"/>
  <c r="I637" i="26"/>
  <c r="H638" i="26"/>
  <c r="I638" i="26"/>
  <c r="H639" i="26"/>
  <c r="I639" i="26"/>
  <c r="H640" i="26"/>
  <c r="I640" i="26"/>
  <c r="H641" i="26"/>
  <c r="I641" i="26"/>
  <c r="H642" i="26"/>
  <c r="I642" i="26"/>
  <c r="H643" i="26"/>
  <c r="I643" i="26"/>
  <c r="H644" i="26"/>
  <c r="I644" i="26"/>
  <c r="H645" i="26"/>
  <c r="I645" i="26"/>
  <c r="H646" i="26"/>
  <c r="I646" i="26"/>
  <c r="H647" i="26"/>
  <c r="I647" i="26"/>
  <c r="H648" i="26"/>
  <c r="I648" i="26"/>
  <c r="H649" i="26"/>
  <c r="I649" i="26"/>
  <c r="H650" i="26"/>
  <c r="I650" i="26"/>
  <c r="H651" i="26"/>
  <c r="I651" i="26"/>
  <c r="H652" i="26"/>
  <c r="I652" i="26"/>
  <c r="H653" i="26"/>
  <c r="I653" i="26"/>
  <c r="H654" i="26"/>
  <c r="I654" i="26"/>
  <c r="H655" i="26"/>
  <c r="I655" i="26"/>
  <c r="H656" i="26"/>
  <c r="I656" i="26"/>
  <c r="H657" i="26"/>
  <c r="I657" i="26"/>
  <c r="H659" i="26"/>
  <c r="I659" i="26"/>
  <c r="H660" i="26"/>
  <c r="I660" i="26"/>
  <c r="H661" i="26"/>
  <c r="I661" i="26"/>
  <c r="H662" i="26"/>
  <c r="I662" i="26"/>
  <c r="H663" i="26"/>
  <c r="I663" i="26"/>
  <c r="H664" i="26"/>
  <c r="I664" i="26"/>
  <c r="H665" i="26"/>
  <c r="I665" i="26"/>
  <c r="H666" i="26"/>
  <c r="I666" i="26"/>
  <c r="H667" i="26"/>
  <c r="I667" i="26"/>
  <c r="H668" i="26"/>
  <c r="I668" i="26"/>
  <c r="H669" i="26"/>
  <c r="I669" i="26"/>
  <c r="H670" i="26"/>
  <c r="I670" i="26"/>
  <c r="H671" i="26"/>
  <c r="I671" i="26"/>
  <c r="H672" i="26"/>
  <c r="I672" i="26"/>
  <c r="H673" i="26"/>
  <c r="I673" i="26"/>
  <c r="H674" i="26"/>
  <c r="I674" i="26"/>
  <c r="H675" i="26"/>
  <c r="I675" i="26"/>
  <c r="H676" i="26"/>
  <c r="I676" i="26"/>
  <c r="H677" i="26"/>
  <c r="I677" i="26"/>
  <c r="H678" i="26"/>
  <c r="I678" i="26"/>
  <c r="H679" i="26"/>
  <c r="I679" i="26"/>
  <c r="H680" i="26"/>
  <c r="I680" i="26"/>
  <c r="H681" i="26"/>
  <c r="I681" i="26"/>
  <c r="H682" i="26"/>
  <c r="I682" i="26"/>
  <c r="H683" i="26"/>
  <c r="I683" i="26"/>
  <c r="H684" i="26"/>
  <c r="I684" i="26"/>
  <c r="H685" i="26"/>
  <c r="I685" i="26"/>
  <c r="H686" i="26"/>
  <c r="I686" i="26"/>
  <c r="H687" i="26"/>
  <c r="I687" i="26"/>
  <c r="H688" i="26"/>
  <c r="I688" i="26"/>
  <c r="H689" i="26"/>
  <c r="I689" i="26"/>
  <c r="H690" i="26"/>
  <c r="I690" i="26"/>
  <c r="H691" i="26"/>
  <c r="I691" i="26"/>
  <c r="H692" i="26"/>
  <c r="I692" i="26"/>
  <c r="H693" i="26"/>
  <c r="I693" i="26"/>
  <c r="H694" i="26"/>
  <c r="I694" i="26"/>
  <c r="H695" i="26"/>
  <c r="I695" i="26"/>
  <c r="H696" i="26"/>
  <c r="I696" i="26"/>
  <c r="H697" i="26"/>
  <c r="I697" i="26"/>
  <c r="H698" i="26"/>
  <c r="I698" i="26"/>
  <c r="H699" i="26"/>
  <c r="I699" i="26"/>
  <c r="H700" i="26"/>
  <c r="I700" i="26"/>
  <c r="H701" i="26"/>
  <c r="I701" i="26"/>
  <c r="H702" i="26"/>
  <c r="I702" i="26"/>
  <c r="H703" i="26"/>
  <c r="I703" i="26"/>
  <c r="H704" i="26"/>
  <c r="I704" i="26"/>
  <c r="H705" i="26"/>
  <c r="I705" i="26"/>
  <c r="H706" i="26"/>
  <c r="I706" i="26"/>
  <c r="H707" i="26"/>
  <c r="I707" i="26"/>
  <c r="H708" i="26"/>
  <c r="I708" i="26"/>
  <c r="H709" i="26"/>
  <c r="I709" i="26"/>
  <c r="H710" i="26"/>
  <c r="I710" i="26"/>
  <c r="H711" i="26"/>
  <c r="I711" i="26"/>
  <c r="H712" i="26"/>
  <c r="I712" i="26"/>
  <c r="H713" i="26"/>
  <c r="I713" i="26"/>
  <c r="H714" i="26"/>
  <c r="I714" i="26"/>
  <c r="H715" i="26"/>
  <c r="I715" i="26"/>
  <c r="H716" i="26"/>
  <c r="I716" i="26"/>
  <c r="H717" i="26"/>
  <c r="I717" i="26"/>
  <c r="H718" i="26"/>
  <c r="I718" i="26"/>
  <c r="H719" i="26"/>
  <c r="I719" i="26"/>
  <c r="H720" i="26"/>
  <c r="I720" i="26"/>
  <c r="H721" i="26"/>
  <c r="I721" i="26"/>
  <c r="H722" i="26"/>
  <c r="I722" i="26"/>
  <c r="H723" i="26"/>
  <c r="I723" i="26"/>
  <c r="H724" i="26"/>
  <c r="I724" i="26"/>
  <c r="H725" i="26"/>
  <c r="I725" i="26"/>
  <c r="H726" i="26"/>
  <c r="I726" i="26"/>
  <c r="H727" i="26"/>
  <c r="I727" i="26"/>
  <c r="H728" i="26"/>
  <c r="I728" i="26"/>
  <c r="H729" i="26"/>
  <c r="I729" i="26"/>
  <c r="H730" i="26"/>
  <c r="I730" i="26"/>
  <c r="H731" i="26"/>
  <c r="I731" i="26"/>
  <c r="H732" i="26"/>
  <c r="I732" i="26"/>
  <c r="H733" i="26"/>
  <c r="I733" i="26"/>
  <c r="H734" i="26"/>
  <c r="I734" i="26"/>
  <c r="H735" i="26"/>
  <c r="I735" i="26"/>
  <c r="H736" i="26"/>
  <c r="I736" i="26"/>
  <c r="H737" i="26"/>
  <c r="I737" i="26"/>
  <c r="H738" i="26"/>
  <c r="I738" i="26"/>
  <c r="H739" i="26"/>
  <c r="I739" i="26"/>
  <c r="H740" i="26"/>
  <c r="I740" i="26"/>
  <c r="H741" i="26"/>
  <c r="I741" i="26"/>
  <c r="H742" i="26"/>
  <c r="I742" i="26"/>
  <c r="H743" i="26"/>
  <c r="I743" i="26"/>
  <c r="H744" i="26"/>
  <c r="I744" i="26"/>
  <c r="H745" i="26"/>
  <c r="I745" i="26"/>
  <c r="H746" i="26"/>
  <c r="I746" i="26"/>
  <c r="H747" i="26"/>
  <c r="I747" i="26"/>
  <c r="H748" i="26"/>
  <c r="I748" i="26"/>
  <c r="H749" i="26"/>
  <c r="I749" i="26"/>
  <c r="H750" i="26"/>
  <c r="I750" i="26"/>
  <c r="H751" i="26"/>
  <c r="I751" i="26"/>
  <c r="H752" i="26"/>
  <c r="I752" i="26"/>
  <c r="H754" i="26"/>
  <c r="I754" i="26"/>
  <c r="H755" i="26"/>
  <c r="I755" i="26"/>
  <c r="H756" i="26"/>
  <c r="I756" i="26"/>
  <c r="H757" i="26"/>
  <c r="I757" i="26"/>
  <c r="H758" i="26"/>
  <c r="I758" i="26"/>
  <c r="H760" i="26"/>
  <c r="I760" i="26"/>
  <c r="H761" i="26"/>
  <c r="I761" i="26"/>
  <c r="H762" i="26"/>
  <c r="I762" i="26"/>
  <c r="H763" i="26"/>
  <c r="I763" i="26"/>
  <c r="H764" i="26"/>
  <c r="I764" i="26"/>
  <c r="F3" i="25"/>
  <c r="G3" i="25"/>
  <c r="F4" i="25"/>
  <c r="G4" i="25"/>
  <c r="F5" i="25"/>
  <c r="G5" i="25"/>
  <c r="F6" i="25"/>
  <c r="G6" i="25"/>
  <c r="F7" i="25"/>
  <c r="G7" i="25"/>
  <c r="F9" i="25"/>
  <c r="G9" i="25"/>
  <c r="F10" i="25"/>
  <c r="G10" i="25"/>
  <c r="F11" i="25"/>
  <c r="G11" i="25"/>
  <c r="F12" i="25"/>
  <c r="G12" i="25"/>
  <c r="F13" i="25"/>
  <c r="G13" i="25"/>
  <c r="F14" i="25"/>
  <c r="G14" i="25"/>
  <c r="F15" i="25"/>
  <c r="G15" i="25"/>
  <c r="F16" i="25"/>
  <c r="G16" i="25"/>
  <c r="F17" i="25"/>
  <c r="G17" i="25"/>
  <c r="F18" i="25"/>
  <c r="G18" i="25"/>
  <c r="F19" i="25"/>
  <c r="G19" i="25"/>
  <c r="F20" i="25"/>
  <c r="G20" i="25"/>
  <c r="F21" i="25"/>
  <c r="G21" i="25"/>
  <c r="F22" i="25"/>
  <c r="G22" i="25"/>
  <c r="F23" i="25"/>
  <c r="G23" i="25"/>
  <c r="F24" i="25"/>
  <c r="G24" i="25"/>
  <c r="F25" i="25"/>
  <c r="G25" i="25"/>
  <c r="F27" i="25"/>
  <c r="G27" i="25"/>
  <c r="F28" i="25"/>
  <c r="G28" i="25"/>
  <c r="F29" i="25"/>
  <c r="G29" i="25"/>
  <c r="F30" i="25"/>
  <c r="G30" i="25"/>
  <c r="F31" i="25"/>
  <c r="G31" i="25"/>
  <c r="F32" i="25"/>
  <c r="G32" i="25"/>
  <c r="F33" i="25"/>
  <c r="G33" i="25"/>
  <c r="F34" i="25"/>
  <c r="G34" i="25"/>
  <c r="F35" i="25"/>
  <c r="G35" i="25"/>
  <c r="F36" i="25"/>
  <c r="G36" i="25"/>
  <c r="F38" i="25"/>
  <c r="G38" i="25"/>
  <c r="F39" i="25"/>
  <c r="G39" i="25"/>
  <c r="F40" i="25"/>
  <c r="G40" i="25"/>
  <c r="F41" i="25"/>
  <c r="G41" i="25"/>
  <c r="F43" i="25"/>
  <c r="G43" i="25"/>
  <c r="F44" i="25"/>
  <c r="G44" i="25"/>
  <c r="F45" i="25"/>
  <c r="G45" i="25"/>
  <c r="F46" i="25"/>
  <c r="G46" i="25"/>
  <c r="F47" i="25"/>
  <c r="G47" i="25"/>
  <c r="F48" i="25"/>
  <c r="G48" i="25"/>
  <c r="F49" i="25"/>
  <c r="G49" i="25"/>
  <c r="F50" i="25"/>
  <c r="G50" i="25"/>
  <c r="F51" i="25"/>
  <c r="G51" i="25"/>
  <c r="F52" i="25"/>
  <c r="G52" i="25"/>
  <c r="F53" i="25"/>
  <c r="G53" i="25"/>
  <c r="F54" i="25"/>
  <c r="G54" i="25"/>
  <c r="F55" i="25"/>
  <c r="G55" i="25"/>
  <c r="F56" i="25"/>
  <c r="G56" i="25"/>
  <c r="F57" i="25"/>
  <c r="G57" i="25"/>
  <c r="F58" i="25"/>
  <c r="G58" i="25"/>
  <c r="F59" i="25"/>
  <c r="G59" i="25"/>
  <c r="F60" i="25"/>
  <c r="G60" i="25"/>
  <c r="F61" i="25"/>
  <c r="G61" i="25"/>
  <c r="F62" i="25"/>
  <c r="G62" i="25"/>
  <c r="F63" i="25"/>
  <c r="G63" i="25"/>
  <c r="F64" i="25"/>
  <c r="G64" i="25"/>
  <c r="F65" i="25"/>
  <c r="G65" i="25"/>
  <c r="F66" i="25"/>
  <c r="G66" i="25"/>
  <c r="F67" i="25"/>
  <c r="G67" i="25"/>
  <c r="F68" i="25"/>
  <c r="G68" i="25"/>
  <c r="F69" i="25"/>
  <c r="G69" i="25"/>
  <c r="F70" i="25"/>
  <c r="G70" i="25"/>
  <c r="F71" i="25"/>
  <c r="G71" i="25"/>
  <c r="F72" i="25"/>
  <c r="G72" i="25"/>
  <c r="F73" i="25"/>
  <c r="G73" i="25"/>
  <c r="F74" i="25"/>
  <c r="G74" i="25"/>
  <c r="F75" i="25"/>
  <c r="G75" i="25"/>
  <c r="F76" i="25"/>
  <c r="G76" i="25"/>
  <c r="F77" i="25"/>
  <c r="G77" i="25"/>
  <c r="F78" i="25"/>
  <c r="G78" i="25"/>
  <c r="F79" i="25"/>
  <c r="G79" i="25"/>
  <c r="F80" i="25"/>
  <c r="G80" i="25"/>
  <c r="F81" i="25"/>
  <c r="G81" i="25"/>
  <c r="F82" i="25"/>
  <c r="G82" i="25"/>
  <c r="F83" i="25"/>
  <c r="G83" i="25"/>
  <c r="F84" i="25"/>
  <c r="G84" i="25"/>
  <c r="F85" i="25"/>
  <c r="G85" i="25"/>
  <c r="F86" i="25"/>
  <c r="G86" i="25"/>
  <c r="F87" i="25"/>
  <c r="G87" i="25"/>
  <c r="F88" i="25"/>
  <c r="G88" i="25"/>
  <c r="F89" i="25"/>
  <c r="G89" i="25"/>
  <c r="F90" i="25"/>
  <c r="G90" i="25"/>
  <c r="F91" i="25"/>
  <c r="G91" i="25"/>
  <c r="F92" i="25"/>
  <c r="G92" i="25"/>
  <c r="F93" i="25"/>
  <c r="G93" i="25"/>
  <c r="F94" i="25"/>
  <c r="G94" i="25"/>
  <c r="F95" i="25"/>
  <c r="G95" i="25"/>
  <c r="F96" i="25"/>
  <c r="G96" i="25"/>
  <c r="F97" i="25"/>
  <c r="G97" i="25"/>
  <c r="F98" i="25"/>
  <c r="G98" i="25"/>
  <c r="F99" i="25"/>
  <c r="G99" i="25"/>
  <c r="F100" i="25"/>
  <c r="G100" i="25"/>
  <c r="F101" i="25"/>
  <c r="G101" i="25"/>
  <c r="F103" i="25"/>
  <c r="G103" i="25"/>
  <c r="F104" i="25"/>
  <c r="G104" i="25"/>
  <c r="F105" i="25"/>
  <c r="G105" i="25"/>
  <c r="F106" i="25"/>
  <c r="G106" i="25"/>
  <c r="F107" i="25"/>
  <c r="G107" i="25"/>
  <c r="F108" i="25"/>
  <c r="G108" i="25"/>
  <c r="F109" i="25"/>
  <c r="G109" i="25"/>
  <c r="F110" i="25"/>
  <c r="G110" i="25"/>
  <c r="F112" i="25"/>
  <c r="G112" i="25"/>
  <c r="F113" i="25"/>
  <c r="G113" i="25"/>
  <c r="F114" i="25"/>
  <c r="G114" i="25"/>
  <c r="F115" i="25"/>
  <c r="G115" i="25"/>
  <c r="F116" i="25"/>
  <c r="G116" i="25"/>
  <c r="F117" i="25"/>
  <c r="G117" i="25"/>
  <c r="F118" i="25"/>
  <c r="G118" i="25"/>
  <c r="F119" i="25"/>
  <c r="G119" i="25"/>
  <c r="F120" i="25"/>
  <c r="G120" i="25"/>
  <c r="F122" i="25"/>
  <c r="G122" i="25"/>
  <c r="F123" i="25"/>
  <c r="G123" i="25"/>
  <c r="F124" i="25"/>
  <c r="G124" i="25"/>
  <c r="F125" i="25"/>
  <c r="G125" i="25"/>
  <c r="F126" i="25"/>
  <c r="G126" i="25"/>
  <c r="F127" i="25"/>
  <c r="G127" i="25"/>
  <c r="F128" i="25"/>
  <c r="G128" i="25"/>
  <c r="F129" i="25"/>
  <c r="G129" i="25"/>
  <c r="F130" i="25"/>
  <c r="G130" i="25"/>
  <c r="F131" i="25"/>
  <c r="G131" i="25"/>
  <c r="F132" i="25"/>
  <c r="G132" i="25"/>
  <c r="F133" i="25"/>
  <c r="G133" i="25"/>
  <c r="F134" i="25"/>
  <c r="G134" i="25"/>
  <c r="F135" i="25"/>
  <c r="G135" i="25"/>
  <c r="F136" i="25"/>
  <c r="G136" i="25"/>
  <c r="F137" i="25"/>
  <c r="G137" i="25"/>
  <c r="F138" i="25"/>
  <c r="G138" i="25"/>
  <c r="F139" i="25"/>
  <c r="G139" i="25"/>
  <c r="F140" i="25"/>
  <c r="G140" i="25"/>
  <c r="F142" i="25"/>
  <c r="G142" i="25"/>
  <c r="F143" i="25"/>
  <c r="G143" i="25"/>
  <c r="F144" i="25"/>
  <c r="G144" i="25"/>
  <c r="F145" i="25"/>
  <c r="G145" i="25"/>
  <c r="F146" i="25"/>
  <c r="G146" i="25"/>
  <c r="F148" i="25"/>
  <c r="G148" i="25"/>
  <c r="F149" i="25"/>
  <c r="G149" i="25"/>
  <c r="F150" i="25"/>
  <c r="G150" i="25"/>
  <c r="F151" i="25"/>
  <c r="G151" i="25"/>
  <c r="F152" i="25"/>
  <c r="G152" i="25"/>
  <c r="F153" i="25"/>
  <c r="G153" i="25"/>
  <c r="F154" i="25"/>
  <c r="G154" i="25"/>
  <c r="F155" i="25"/>
  <c r="G155" i="25"/>
  <c r="F156" i="25"/>
  <c r="G156" i="25"/>
  <c r="F157" i="25"/>
  <c r="G157" i="25"/>
  <c r="F158" i="25"/>
  <c r="G158" i="25"/>
  <c r="F159" i="25"/>
  <c r="G159" i="25"/>
  <c r="F160" i="25"/>
  <c r="G160" i="25"/>
  <c r="F161" i="25"/>
  <c r="G161" i="25"/>
  <c r="F162" i="25"/>
  <c r="G162" i="25"/>
  <c r="F163" i="25"/>
  <c r="G163" i="25"/>
  <c r="F164" i="25"/>
  <c r="G164" i="25"/>
  <c r="F165" i="25"/>
  <c r="G165" i="25"/>
  <c r="F166" i="25"/>
  <c r="G166" i="25"/>
  <c r="F167" i="25"/>
  <c r="G167" i="25"/>
  <c r="F168" i="25"/>
  <c r="G168" i="25"/>
  <c r="F169" i="25"/>
  <c r="G169" i="25"/>
  <c r="F170" i="25"/>
  <c r="G170" i="25"/>
  <c r="F171" i="25"/>
  <c r="G171" i="25"/>
  <c r="F172" i="25"/>
  <c r="G172" i="25"/>
  <c r="F173" i="25"/>
  <c r="G173" i="25"/>
  <c r="F174" i="25"/>
  <c r="G174" i="25"/>
  <c r="F175" i="25"/>
  <c r="G175" i="25"/>
  <c r="F176" i="25"/>
  <c r="G176" i="25"/>
  <c r="F177" i="25"/>
  <c r="G177" i="25"/>
  <c r="F178" i="25"/>
  <c r="G178" i="25"/>
  <c r="F179" i="25"/>
  <c r="G179" i="25"/>
  <c r="F180" i="25"/>
  <c r="G180" i="25"/>
  <c r="F181" i="25"/>
  <c r="G181" i="25"/>
  <c r="F182" i="25"/>
  <c r="G182" i="25"/>
  <c r="F183" i="25"/>
  <c r="G183" i="25"/>
  <c r="F184" i="25"/>
  <c r="G184" i="25"/>
  <c r="F185" i="25"/>
  <c r="G185" i="25"/>
  <c r="F187" i="25"/>
  <c r="G187" i="25"/>
  <c r="F188" i="25"/>
  <c r="G188" i="25"/>
  <c r="F189" i="25"/>
  <c r="G189" i="25"/>
  <c r="F190" i="25"/>
  <c r="G190" i="25"/>
  <c r="F191" i="25"/>
  <c r="G191" i="25"/>
  <c r="F192" i="25"/>
  <c r="G192" i="25"/>
  <c r="F193" i="25"/>
  <c r="G193" i="25"/>
  <c r="F194" i="25"/>
  <c r="G194" i="25"/>
  <c r="F196" i="25"/>
  <c r="G196" i="25"/>
  <c r="F197" i="25"/>
  <c r="G197" i="25"/>
  <c r="F198" i="25"/>
  <c r="G198" i="25"/>
  <c r="F199" i="25"/>
  <c r="G199" i="25"/>
  <c r="F200" i="25"/>
  <c r="G200" i="25"/>
  <c r="F201" i="25"/>
  <c r="G201" i="25"/>
  <c r="F202" i="25"/>
  <c r="G202" i="25"/>
  <c r="F203" i="25"/>
  <c r="G203" i="25"/>
  <c r="F204" i="25"/>
  <c r="G204" i="25"/>
  <c r="F205" i="25"/>
  <c r="G205" i="25"/>
  <c r="F206" i="25"/>
  <c r="G206" i="25"/>
  <c r="F207" i="25"/>
  <c r="G207" i="25"/>
  <c r="F208" i="25"/>
  <c r="G208" i="25"/>
  <c r="F209" i="25"/>
  <c r="G209" i="25"/>
  <c r="F210" i="25"/>
  <c r="G210" i="25"/>
  <c r="F211" i="25"/>
  <c r="G211" i="25"/>
  <c r="F212" i="25"/>
  <c r="G212" i="25"/>
  <c r="F213" i="25"/>
  <c r="G213" i="25"/>
  <c r="F214" i="25"/>
  <c r="G214" i="25"/>
  <c r="F215" i="25"/>
  <c r="G215" i="25"/>
  <c r="F216" i="25"/>
  <c r="G216" i="25"/>
  <c r="F217" i="25"/>
  <c r="G217" i="25"/>
  <c r="F218" i="25"/>
  <c r="G218" i="25"/>
  <c r="F219" i="25"/>
  <c r="G219" i="25"/>
  <c r="F220" i="25"/>
  <c r="G220" i="25"/>
  <c r="F221" i="25"/>
  <c r="G221" i="25"/>
  <c r="F222" i="25"/>
  <c r="G222" i="25"/>
  <c r="F223" i="25"/>
  <c r="G223" i="25"/>
  <c r="F224" i="25"/>
  <c r="G224" i="25"/>
  <c r="F225" i="25"/>
  <c r="G225" i="25"/>
  <c r="F226" i="25"/>
  <c r="G226" i="25"/>
  <c r="F227" i="25"/>
  <c r="G227" i="25"/>
  <c r="F228" i="25"/>
  <c r="G228" i="25"/>
  <c r="F229" i="25"/>
  <c r="G229" i="25"/>
  <c r="F230" i="25"/>
  <c r="G230" i="25"/>
  <c r="F231" i="25"/>
  <c r="G231" i="25"/>
  <c r="F232" i="25"/>
  <c r="G232" i="25"/>
  <c r="F233" i="25"/>
  <c r="G233" i="25"/>
  <c r="F234" i="25"/>
  <c r="G234" i="25"/>
  <c r="F235" i="25"/>
  <c r="G235" i="25"/>
  <c r="F236" i="25"/>
  <c r="G236" i="25"/>
  <c r="F237" i="25"/>
  <c r="G237" i="25"/>
  <c r="F238" i="25"/>
  <c r="G238" i="25"/>
  <c r="F239" i="25"/>
  <c r="G239" i="25"/>
  <c r="F240" i="25"/>
  <c r="G240" i="25"/>
  <c r="F241" i="25"/>
  <c r="G241" i="25"/>
  <c r="F242" i="25"/>
  <c r="G242" i="25"/>
  <c r="F243" i="25"/>
  <c r="G243" i="25"/>
  <c r="F244" i="25"/>
  <c r="G244" i="25"/>
  <c r="F245" i="25"/>
  <c r="G245" i="25"/>
  <c r="F246" i="25"/>
  <c r="G246" i="25"/>
  <c r="F247" i="25"/>
  <c r="G247" i="25"/>
  <c r="F248" i="25"/>
  <c r="G248" i="25"/>
  <c r="F249" i="25"/>
  <c r="G249" i="25"/>
  <c r="F250" i="25"/>
  <c r="G250" i="25"/>
  <c r="F251" i="25"/>
  <c r="G251" i="25"/>
  <c r="F252" i="25"/>
  <c r="G252" i="25"/>
  <c r="F253" i="25"/>
  <c r="G253" i="25"/>
  <c r="F254" i="25"/>
  <c r="G254" i="25"/>
  <c r="F255" i="25"/>
  <c r="G255" i="25"/>
  <c r="F256" i="25"/>
  <c r="G256" i="25"/>
  <c r="F257" i="25"/>
  <c r="G257" i="25"/>
  <c r="F258" i="25"/>
  <c r="G258" i="25"/>
  <c r="F259" i="25"/>
  <c r="G259" i="25"/>
  <c r="F260" i="25"/>
  <c r="G260" i="25"/>
  <c r="F261" i="25"/>
  <c r="G261" i="25"/>
  <c r="F262" i="25"/>
  <c r="G262" i="25"/>
  <c r="F263" i="25"/>
  <c r="G263" i="25"/>
  <c r="F264" i="25"/>
  <c r="G264" i="25"/>
  <c r="F265" i="25"/>
  <c r="G265" i="25"/>
  <c r="F266" i="25"/>
  <c r="G266" i="25"/>
  <c r="F267" i="25"/>
  <c r="G267" i="25"/>
  <c r="F268" i="25"/>
  <c r="G268" i="25"/>
  <c r="F269" i="25"/>
  <c r="G269" i="25"/>
  <c r="F270" i="25"/>
  <c r="G270" i="25"/>
  <c r="F271" i="25"/>
  <c r="G271" i="25"/>
  <c r="F272" i="25"/>
  <c r="G272" i="25"/>
  <c r="F273" i="25"/>
  <c r="G273" i="25"/>
  <c r="F274" i="25"/>
  <c r="G274" i="25"/>
  <c r="F275" i="25"/>
  <c r="G275" i="25"/>
  <c r="F276" i="25"/>
  <c r="G276" i="25"/>
  <c r="F277" i="25"/>
  <c r="G277" i="25"/>
  <c r="F278" i="25"/>
  <c r="G278" i="25"/>
  <c r="F279" i="25"/>
  <c r="G279" i="25"/>
  <c r="F280" i="25"/>
  <c r="G280" i="25"/>
  <c r="F281" i="25"/>
  <c r="G281" i="25"/>
  <c r="F282" i="25"/>
  <c r="G282" i="25"/>
  <c r="F283" i="25"/>
  <c r="G283" i="25"/>
  <c r="F284" i="25"/>
  <c r="G284" i="25"/>
  <c r="F285" i="25"/>
  <c r="G285" i="25"/>
  <c r="F286" i="25"/>
  <c r="G286" i="25"/>
  <c r="F287" i="25"/>
  <c r="G287" i="25"/>
  <c r="F288" i="25"/>
  <c r="G288" i="25"/>
  <c r="F289" i="25"/>
  <c r="G289" i="25"/>
  <c r="F290" i="25"/>
  <c r="G290" i="25"/>
  <c r="F291" i="25"/>
  <c r="G291" i="25"/>
  <c r="F292" i="25"/>
  <c r="G292" i="25"/>
  <c r="F293" i="25"/>
  <c r="G293" i="25"/>
  <c r="F294" i="25"/>
  <c r="G294" i="25"/>
  <c r="F295" i="25"/>
  <c r="G295" i="25"/>
  <c r="F296" i="25"/>
  <c r="G296" i="25"/>
  <c r="F297" i="25"/>
  <c r="G297" i="25"/>
  <c r="F298" i="25"/>
  <c r="G298" i="25"/>
  <c r="F299" i="25"/>
  <c r="G299" i="25"/>
  <c r="F300" i="25"/>
  <c r="G300" i="25"/>
  <c r="F301" i="25"/>
  <c r="G301" i="25"/>
  <c r="F302" i="25"/>
  <c r="G302" i="25"/>
  <c r="F303" i="25"/>
  <c r="G303" i="25"/>
  <c r="F304" i="25"/>
  <c r="G304" i="25"/>
  <c r="F305" i="25"/>
  <c r="G305" i="25"/>
  <c r="F306" i="25"/>
  <c r="G306" i="25"/>
  <c r="F307" i="25"/>
  <c r="G307" i="25"/>
  <c r="F308" i="25"/>
  <c r="G308" i="25"/>
  <c r="F309" i="25"/>
  <c r="G309" i="25"/>
  <c r="F310" i="25"/>
  <c r="G310" i="25"/>
  <c r="F311" i="25"/>
  <c r="G311" i="25"/>
  <c r="F312" i="25"/>
  <c r="G312" i="25"/>
  <c r="F313" i="25"/>
  <c r="G313" i="25"/>
  <c r="F314" i="25"/>
  <c r="G314" i="25"/>
  <c r="F315" i="25"/>
  <c r="G315" i="25"/>
  <c r="F316" i="25"/>
  <c r="G316" i="25"/>
  <c r="F317" i="25"/>
  <c r="G317" i="25"/>
  <c r="F318" i="25"/>
  <c r="G318" i="25"/>
  <c r="F319" i="25"/>
  <c r="G319" i="25"/>
  <c r="F320" i="25"/>
  <c r="G320" i="25"/>
  <c r="F321" i="25"/>
  <c r="G321" i="25"/>
  <c r="F322" i="25"/>
  <c r="G322" i="25"/>
  <c r="F323" i="25"/>
  <c r="G323" i="25"/>
  <c r="F324" i="25"/>
  <c r="G324" i="25"/>
  <c r="F325" i="25"/>
  <c r="G325" i="25"/>
  <c r="F326" i="25"/>
  <c r="G326" i="25"/>
  <c r="F327" i="25"/>
  <c r="G327" i="25"/>
  <c r="F328" i="25"/>
  <c r="G328" i="25"/>
  <c r="F329" i="25"/>
  <c r="G329" i="25"/>
  <c r="F330" i="25"/>
  <c r="G330" i="25"/>
  <c r="F331" i="25"/>
  <c r="G331" i="25"/>
  <c r="F332" i="25"/>
  <c r="G332" i="25"/>
  <c r="F333" i="25"/>
  <c r="G333" i="25"/>
  <c r="F334" i="25"/>
  <c r="G334" i="25"/>
  <c r="F335" i="25"/>
  <c r="G335" i="25"/>
  <c r="F336" i="25"/>
  <c r="G336" i="25"/>
  <c r="F337" i="25"/>
  <c r="G337" i="25"/>
  <c r="F338" i="25"/>
  <c r="G338" i="25"/>
  <c r="F339" i="25"/>
  <c r="G339" i="25"/>
  <c r="F340" i="25"/>
  <c r="G340" i="25"/>
  <c r="F341" i="25"/>
  <c r="G341" i="25"/>
  <c r="F342" i="25"/>
  <c r="G342" i="25"/>
  <c r="F343" i="25"/>
  <c r="G343" i="25"/>
  <c r="F344" i="25"/>
  <c r="G344" i="25"/>
  <c r="F345" i="25"/>
  <c r="G345" i="25"/>
  <c r="F346" i="25"/>
  <c r="G346" i="25"/>
  <c r="F348" i="25"/>
  <c r="G348" i="25"/>
  <c r="F349" i="25"/>
  <c r="G349" i="25"/>
  <c r="F350" i="25"/>
  <c r="G350" i="25"/>
  <c r="F351" i="25"/>
  <c r="G351" i="25"/>
  <c r="F352" i="25"/>
  <c r="G352" i="25"/>
  <c r="F353" i="25"/>
  <c r="G353" i="25"/>
  <c r="F354" i="25"/>
  <c r="G354" i="25"/>
  <c r="F356" i="25"/>
  <c r="G356" i="25"/>
  <c r="F357" i="25"/>
  <c r="G357" i="25"/>
  <c r="F358" i="25"/>
  <c r="G358" i="25"/>
  <c r="F359" i="25"/>
  <c r="G359" i="25"/>
  <c r="F360" i="25"/>
  <c r="G360" i="25"/>
  <c r="F361" i="25"/>
  <c r="G361" i="25"/>
  <c r="F362" i="25"/>
  <c r="G362" i="25"/>
  <c r="F363" i="25"/>
  <c r="G363" i="25"/>
  <c r="F364" i="25"/>
  <c r="G364" i="25"/>
  <c r="F365" i="25"/>
  <c r="G365" i="25"/>
  <c r="F366" i="25"/>
  <c r="G366" i="25"/>
  <c r="F367" i="25"/>
  <c r="G367" i="25"/>
  <c r="F368" i="25"/>
  <c r="G368" i="25"/>
  <c r="F369" i="25"/>
  <c r="G369" i="25"/>
  <c r="F370" i="25"/>
  <c r="G370" i="25"/>
  <c r="F371" i="25"/>
  <c r="G371" i="25"/>
  <c r="F372" i="25"/>
  <c r="G372" i="25"/>
  <c r="F373" i="25"/>
  <c r="G373" i="25"/>
  <c r="F374" i="25"/>
  <c r="G374" i="25"/>
  <c r="F375" i="25"/>
  <c r="G375" i="25"/>
  <c r="F376" i="25"/>
  <c r="G376" i="25"/>
  <c r="F377" i="25"/>
  <c r="G377" i="25"/>
  <c r="F378" i="25"/>
  <c r="G378" i="25"/>
  <c r="F379" i="25"/>
  <c r="G379" i="25"/>
  <c r="F380" i="25"/>
  <c r="G380" i="25"/>
  <c r="F381" i="25"/>
  <c r="G381" i="25"/>
  <c r="F382" i="25"/>
  <c r="G382" i="25"/>
  <c r="F383" i="25"/>
  <c r="G383" i="25"/>
  <c r="F384" i="25"/>
  <c r="G384" i="25"/>
  <c r="F385" i="25"/>
  <c r="G385" i="25"/>
  <c r="F386" i="25"/>
  <c r="G386" i="25"/>
  <c r="F387" i="25"/>
  <c r="G387" i="25"/>
  <c r="F388" i="25"/>
  <c r="G388" i="25"/>
  <c r="F389" i="25"/>
  <c r="G389" i="25"/>
  <c r="F390" i="25"/>
  <c r="G390" i="25"/>
  <c r="F391" i="25"/>
  <c r="G391" i="25"/>
  <c r="F392" i="25"/>
  <c r="G392" i="25"/>
  <c r="F393" i="25"/>
  <c r="G393" i="25"/>
  <c r="F394" i="25"/>
  <c r="G394" i="25"/>
  <c r="F395" i="25"/>
  <c r="G395" i="25"/>
  <c r="F396" i="25"/>
  <c r="G396" i="25"/>
  <c r="F397" i="25"/>
  <c r="G397" i="25"/>
  <c r="F398" i="25"/>
  <c r="G398" i="25"/>
  <c r="F399" i="25"/>
  <c r="G399" i="25"/>
  <c r="F400" i="25"/>
  <c r="G400" i="25"/>
  <c r="F401" i="25"/>
  <c r="G401" i="25"/>
  <c r="F402" i="25"/>
  <c r="G402" i="25"/>
  <c r="F403" i="25"/>
  <c r="G403" i="25"/>
  <c r="F404" i="25"/>
  <c r="G404" i="25"/>
  <c r="F405" i="25"/>
  <c r="G405" i="25"/>
  <c r="F406" i="25"/>
  <c r="G406" i="25"/>
  <c r="F408" i="25"/>
  <c r="G408" i="25"/>
  <c r="F409" i="25"/>
  <c r="G409" i="25"/>
  <c r="F410" i="25"/>
  <c r="G410" i="25"/>
  <c r="F411" i="25"/>
  <c r="G411" i="25"/>
  <c r="F412" i="25"/>
  <c r="G412" i="25"/>
  <c r="F413" i="25"/>
  <c r="G413" i="25"/>
  <c r="F414" i="25"/>
  <c r="G414" i="25"/>
  <c r="F415" i="25"/>
  <c r="G415" i="25"/>
  <c r="F416" i="25"/>
  <c r="G416" i="25"/>
  <c r="F417" i="25"/>
  <c r="G417" i="25"/>
  <c r="F418" i="25"/>
  <c r="G418" i="25"/>
  <c r="F419" i="25"/>
  <c r="G419" i="25"/>
  <c r="F420" i="25"/>
  <c r="G420" i="25"/>
  <c r="F421" i="25"/>
  <c r="G421" i="25"/>
  <c r="F422" i="25"/>
  <c r="G422" i="25"/>
  <c r="F423" i="25"/>
  <c r="G423" i="25"/>
  <c r="F424" i="25"/>
  <c r="G424" i="25"/>
  <c r="F425" i="25"/>
  <c r="G425" i="25"/>
  <c r="F426" i="25"/>
  <c r="G426" i="25"/>
  <c r="F427" i="25"/>
  <c r="G427" i="25"/>
  <c r="F428" i="25"/>
  <c r="G428" i="25"/>
  <c r="F430" i="25"/>
  <c r="G430" i="25"/>
  <c r="F431" i="25"/>
  <c r="G431" i="25"/>
  <c r="F432" i="25"/>
  <c r="G432" i="25"/>
  <c r="F433" i="25"/>
  <c r="G433" i="25"/>
  <c r="F435" i="25"/>
  <c r="G435" i="25"/>
  <c r="F436" i="25"/>
  <c r="G436" i="25"/>
  <c r="F437" i="25"/>
  <c r="G437" i="25"/>
  <c r="F438" i="25"/>
  <c r="G438" i="25"/>
  <c r="F439" i="25"/>
  <c r="G439" i="25"/>
  <c r="F440" i="25"/>
  <c r="G440" i="25"/>
  <c r="F441" i="25"/>
  <c r="G441" i="25"/>
  <c r="F442" i="25"/>
  <c r="G442" i="25"/>
  <c r="F443" i="25"/>
  <c r="G443" i="25"/>
  <c r="F444" i="25"/>
  <c r="G444" i="25"/>
  <c r="F445" i="25"/>
  <c r="G445" i="25"/>
  <c r="F446" i="25"/>
  <c r="G446" i="25"/>
  <c r="F447" i="25"/>
  <c r="G447" i="25"/>
  <c r="F448" i="25"/>
  <c r="G448" i="25"/>
  <c r="F449" i="25"/>
  <c r="G449" i="25"/>
  <c r="F450" i="25"/>
  <c r="G450" i="25"/>
  <c r="F451" i="25"/>
  <c r="G451" i="25"/>
  <c r="F452" i="25"/>
  <c r="G452" i="25"/>
  <c r="F453" i="25"/>
  <c r="G453" i="25"/>
  <c r="F454" i="25"/>
  <c r="G454" i="25"/>
  <c r="F455" i="25"/>
  <c r="G455" i="25"/>
  <c r="F456" i="25"/>
  <c r="G456" i="25"/>
  <c r="F457" i="25"/>
  <c r="G457" i="25"/>
  <c r="F458" i="25"/>
  <c r="G458" i="25"/>
  <c r="F459" i="25"/>
  <c r="G459" i="25"/>
  <c r="F460" i="25"/>
  <c r="G460" i="25"/>
  <c r="F461" i="25"/>
  <c r="G461" i="25"/>
  <c r="F462" i="25"/>
  <c r="G462" i="25"/>
  <c r="F463" i="25"/>
  <c r="G463" i="25"/>
  <c r="F464" i="25"/>
  <c r="G464" i="25"/>
  <c r="F465" i="25"/>
  <c r="G465" i="25"/>
  <c r="F466" i="25"/>
  <c r="G466" i="25"/>
  <c r="F467" i="25"/>
  <c r="G467" i="25"/>
  <c r="F468" i="25"/>
  <c r="G468" i="25"/>
  <c r="F469" i="25"/>
  <c r="G469" i="25"/>
  <c r="F470" i="25"/>
  <c r="G470" i="25"/>
  <c r="F471" i="25"/>
  <c r="G471" i="25"/>
  <c r="F472" i="25"/>
  <c r="G472" i="25"/>
  <c r="F473" i="25"/>
  <c r="G473" i="25"/>
  <c r="F474" i="25"/>
  <c r="G474" i="25"/>
  <c r="F475" i="25"/>
  <c r="G475" i="25"/>
  <c r="F476" i="25"/>
  <c r="G476" i="25"/>
  <c r="F477" i="25"/>
  <c r="G477" i="25"/>
  <c r="F478" i="25"/>
  <c r="G478" i="25"/>
  <c r="F480" i="25"/>
  <c r="G480" i="25"/>
  <c r="F481" i="25"/>
  <c r="G481" i="25"/>
  <c r="F482" i="25"/>
  <c r="G482" i="25"/>
  <c r="F483" i="25"/>
  <c r="G483" i="25"/>
  <c r="F484" i="25"/>
  <c r="G484" i="25"/>
  <c r="F485" i="25"/>
  <c r="G485" i="25"/>
  <c r="F486" i="25"/>
  <c r="G486" i="25"/>
  <c r="F487" i="25"/>
  <c r="G487" i="25"/>
  <c r="F488" i="25"/>
  <c r="G488" i="25"/>
  <c r="F489" i="25"/>
  <c r="G489" i="25"/>
  <c r="F490" i="25"/>
  <c r="G490" i="25"/>
  <c r="F491" i="25"/>
  <c r="G491" i="25"/>
  <c r="F492" i="25"/>
  <c r="G492" i="25"/>
  <c r="F493" i="25"/>
  <c r="G493" i="25"/>
  <c r="F494" i="25"/>
  <c r="G494" i="25"/>
  <c r="F495" i="25"/>
  <c r="G495" i="25"/>
  <c r="F497" i="25"/>
  <c r="G497" i="25"/>
  <c r="F498" i="25"/>
  <c r="G498" i="25"/>
  <c r="F499" i="25"/>
  <c r="G499" i="25"/>
  <c r="F500" i="25"/>
  <c r="G500" i="25"/>
  <c r="F501" i="25"/>
  <c r="G501" i="25"/>
  <c r="F502" i="25"/>
  <c r="G502" i="25"/>
  <c r="F503" i="25"/>
  <c r="G503" i="25"/>
  <c r="F504" i="25"/>
  <c r="G504" i="25"/>
  <c r="F505" i="25"/>
  <c r="G505" i="25"/>
  <c r="F506" i="25"/>
  <c r="G506" i="25"/>
  <c r="F507" i="25"/>
  <c r="G507" i="25"/>
  <c r="F508" i="25"/>
  <c r="G508" i="25"/>
  <c r="F509" i="25"/>
  <c r="G509" i="25"/>
  <c r="F510" i="25"/>
  <c r="G510" i="25"/>
  <c r="F511" i="25"/>
  <c r="G511" i="25"/>
  <c r="F512" i="25"/>
  <c r="G512" i="25"/>
  <c r="F513" i="25"/>
  <c r="G513" i="25"/>
  <c r="F514" i="25"/>
  <c r="G514" i="25"/>
  <c r="F515" i="25"/>
  <c r="G515" i="25"/>
  <c r="F516" i="25"/>
  <c r="G516" i="25"/>
  <c r="F517" i="25"/>
  <c r="G517" i="25"/>
  <c r="F518" i="25"/>
  <c r="G518" i="25"/>
  <c r="F519" i="25"/>
  <c r="G519" i="25"/>
  <c r="F520" i="25"/>
  <c r="G520" i="25"/>
  <c r="F521" i="25"/>
  <c r="G521" i="25"/>
  <c r="F522" i="25"/>
  <c r="G522" i="25"/>
  <c r="F523" i="25"/>
  <c r="G523" i="25"/>
  <c r="F524" i="25"/>
  <c r="G524" i="25"/>
  <c r="F525" i="25"/>
  <c r="G525" i="25"/>
  <c r="F526" i="25"/>
  <c r="G526" i="25"/>
  <c r="F527" i="25"/>
  <c r="G527" i="25"/>
  <c r="F528" i="25"/>
  <c r="G528" i="25"/>
  <c r="F529" i="25"/>
  <c r="G529" i="25"/>
  <c r="F530" i="25"/>
  <c r="G530" i="25"/>
  <c r="F531" i="25"/>
  <c r="G531" i="25"/>
  <c r="F532" i="25"/>
  <c r="G532" i="25"/>
  <c r="F533" i="25"/>
  <c r="G533" i="25"/>
  <c r="F534" i="25"/>
  <c r="G534" i="25"/>
  <c r="F535" i="25"/>
  <c r="G535" i="25"/>
  <c r="F536" i="25"/>
  <c r="G536" i="25"/>
  <c r="F537" i="25"/>
  <c r="G537" i="25"/>
  <c r="F538" i="25"/>
  <c r="G538" i="25"/>
  <c r="F539" i="25"/>
  <c r="G539" i="25"/>
  <c r="F540" i="25"/>
  <c r="G540" i="25"/>
  <c r="F541" i="25"/>
  <c r="G541" i="25"/>
  <c r="F542" i="25"/>
  <c r="G542" i="25"/>
  <c r="F543" i="25"/>
  <c r="G543" i="25"/>
  <c r="F544" i="25"/>
  <c r="G544" i="25"/>
  <c r="F545" i="25"/>
  <c r="G545" i="25"/>
  <c r="F546" i="25"/>
  <c r="G546" i="25"/>
  <c r="F547" i="25"/>
  <c r="G547" i="25"/>
  <c r="F548" i="25"/>
  <c r="G548" i="25"/>
  <c r="F549" i="25"/>
  <c r="G549" i="25"/>
  <c r="F550" i="25"/>
  <c r="G550" i="25"/>
  <c r="F551" i="25"/>
  <c r="G551" i="25"/>
  <c r="F552" i="25"/>
  <c r="G552" i="25"/>
  <c r="F553" i="25"/>
  <c r="G553" i="25"/>
  <c r="F554" i="25"/>
  <c r="G554" i="25"/>
  <c r="F555" i="25"/>
  <c r="G555" i="25"/>
  <c r="F556" i="25"/>
  <c r="G556" i="25"/>
  <c r="F557" i="25"/>
  <c r="G557" i="25"/>
  <c r="F558" i="25"/>
  <c r="G558" i="25"/>
  <c r="F559" i="25"/>
  <c r="G559" i="25"/>
  <c r="F560" i="25"/>
  <c r="G560" i="25"/>
  <c r="F561" i="25"/>
  <c r="G561" i="25"/>
  <c r="F562" i="25"/>
  <c r="G562" i="25"/>
  <c r="F563" i="25"/>
  <c r="G563" i="25"/>
  <c r="F564" i="25"/>
  <c r="G564" i="25"/>
  <c r="F565" i="25"/>
  <c r="G565" i="25"/>
  <c r="F566" i="25"/>
  <c r="G566" i="25"/>
  <c r="F567" i="25"/>
  <c r="G567" i="25"/>
  <c r="F568" i="25"/>
  <c r="G568" i="25"/>
  <c r="F569" i="25"/>
  <c r="G569" i="25"/>
  <c r="F570" i="25"/>
  <c r="G570" i="25"/>
  <c r="F571" i="25"/>
  <c r="G571" i="25"/>
  <c r="F572" i="25"/>
  <c r="G572" i="25"/>
  <c r="F573" i="25"/>
  <c r="G573" i="25"/>
  <c r="F574" i="25"/>
  <c r="G574" i="25"/>
  <c r="F575" i="25"/>
  <c r="G575" i="25"/>
  <c r="F576" i="25"/>
  <c r="G576" i="25"/>
  <c r="F577" i="25"/>
  <c r="G577" i="25"/>
  <c r="F578" i="25"/>
  <c r="G578" i="25"/>
  <c r="F579" i="25"/>
  <c r="G579" i="25"/>
  <c r="F580" i="25"/>
  <c r="G580" i="25"/>
  <c r="F581" i="25"/>
  <c r="G581" i="25"/>
  <c r="F582" i="25"/>
  <c r="G582" i="25"/>
  <c r="F583" i="25"/>
  <c r="G583" i="25"/>
  <c r="F584" i="25"/>
  <c r="G584" i="25"/>
  <c r="F586" i="25"/>
  <c r="G586" i="25"/>
  <c r="F587" i="25"/>
  <c r="G587" i="25"/>
  <c r="F588" i="25"/>
  <c r="G588" i="25"/>
  <c r="F589" i="25"/>
  <c r="G589" i="25"/>
  <c r="F590" i="25"/>
  <c r="G590" i="25"/>
  <c r="F591" i="25"/>
  <c r="G591" i="25"/>
  <c r="F592" i="25"/>
  <c r="G592" i="25"/>
  <c r="F593" i="25"/>
  <c r="G593" i="25"/>
  <c r="F594" i="25"/>
  <c r="G594" i="25"/>
  <c r="F595" i="25"/>
  <c r="G595" i="25"/>
  <c r="F596" i="25"/>
  <c r="G596" i="25"/>
  <c r="F597" i="25"/>
  <c r="G597" i="25"/>
  <c r="F598" i="25"/>
  <c r="G598" i="25"/>
  <c r="F599" i="25"/>
  <c r="G599" i="25"/>
  <c r="F600" i="25"/>
  <c r="G600" i="25"/>
  <c r="F601" i="25"/>
  <c r="G601" i="25"/>
  <c r="F602" i="25"/>
  <c r="G602" i="25"/>
  <c r="F603" i="25"/>
  <c r="G603" i="25"/>
  <c r="F604" i="25"/>
  <c r="G604" i="25"/>
  <c r="F605" i="25"/>
  <c r="G605" i="25"/>
  <c r="F606" i="25"/>
  <c r="G606" i="25"/>
  <c r="F607" i="25"/>
  <c r="G607" i="25"/>
  <c r="F608" i="25"/>
  <c r="G608" i="25"/>
  <c r="F609" i="25"/>
  <c r="G609" i="25"/>
  <c r="F610" i="25"/>
  <c r="G610" i="25"/>
  <c r="F611" i="25"/>
  <c r="G611" i="25"/>
  <c r="F612" i="25"/>
  <c r="G612" i="25"/>
  <c r="F613" i="25"/>
  <c r="G613" i="25"/>
  <c r="F614" i="25"/>
  <c r="G614" i="25"/>
  <c r="F615" i="25"/>
  <c r="G615" i="25"/>
  <c r="F616" i="25"/>
  <c r="G616" i="25"/>
  <c r="F617" i="25"/>
  <c r="G617" i="25"/>
  <c r="F618" i="25"/>
  <c r="G618" i="25"/>
  <c r="F619" i="25"/>
  <c r="G619" i="25"/>
  <c r="F620" i="25"/>
  <c r="G620" i="25"/>
  <c r="F621" i="25"/>
  <c r="G621" i="25"/>
  <c r="F622" i="25"/>
  <c r="G622" i="25"/>
  <c r="F623" i="25"/>
  <c r="G623" i="25"/>
  <c r="F624" i="25"/>
  <c r="G624" i="25"/>
  <c r="F625" i="25"/>
  <c r="G625" i="25"/>
  <c r="F626" i="25"/>
  <c r="G626" i="25"/>
  <c r="F627" i="25"/>
  <c r="G627" i="25"/>
  <c r="F628" i="25"/>
  <c r="G628" i="25"/>
  <c r="F629" i="25"/>
  <c r="G629" i="25"/>
  <c r="F630" i="25"/>
  <c r="G630" i="25"/>
  <c r="F631" i="25"/>
  <c r="G631" i="25"/>
  <c r="F632" i="25"/>
  <c r="G632" i="25"/>
  <c r="F633" i="25"/>
  <c r="G633" i="25"/>
  <c r="F634" i="25"/>
  <c r="G634" i="25"/>
  <c r="F635" i="25"/>
  <c r="G635" i="25"/>
  <c r="F636" i="25"/>
  <c r="G636" i="25"/>
  <c r="F637" i="25"/>
  <c r="G637" i="25"/>
  <c r="F638" i="25"/>
  <c r="G638" i="25"/>
  <c r="F639" i="25"/>
  <c r="G639" i="25"/>
  <c r="F640" i="25"/>
  <c r="G640" i="25"/>
  <c r="F641" i="25"/>
  <c r="G641" i="25"/>
  <c r="F642" i="25"/>
  <c r="G642" i="25"/>
  <c r="F643" i="25"/>
  <c r="G643" i="25"/>
  <c r="F644" i="25"/>
  <c r="G644" i="25"/>
  <c r="F645" i="25"/>
  <c r="G645" i="25"/>
  <c r="F646" i="25"/>
  <c r="G646" i="25"/>
  <c r="F647" i="25"/>
  <c r="G647" i="25"/>
  <c r="F648" i="25"/>
  <c r="G648" i="25"/>
  <c r="F649" i="25"/>
  <c r="G649" i="25"/>
  <c r="F650" i="25"/>
  <c r="G650" i="25"/>
  <c r="F651" i="25"/>
  <c r="G651" i="25"/>
  <c r="F652" i="25"/>
  <c r="G652" i="25"/>
  <c r="F653" i="25"/>
  <c r="G653" i="25"/>
  <c r="F654" i="25"/>
  <c r="G654" i="25"/>
  <c r="F655" i="25"/>
  <c r="G655" i="25"/>
  <c r="F656" i="25"/>
  <c r="G656" i="25"/>
  <c r="F657" i="25"/>
  <c r="G657" i="25"/>
  <c r="F658" i="25"/>
  <c r="G658" i="25"/>
  <c r="F660" i="25"/>
  <c r="G660" i="25"/>
  <c r="F661" i="25"/>
  <c r="G661" i="25"/>
  <c r="F662" i="25"/>
  <c r="G662" i="25"/>
  <c r="F663" i="25"/>
  <c r="G663" i="25"/>
  <c r="F664" i="25"/>
  <c r="G664" i="25"/>
  <c r="F665" i="25"/>
  <c r="G665" i="25"/>
  <c r="F666" i="25"/>
  <c r="G666" i="25"/>
  <c r="F667" i="25"/>
  <c r="G667" i="25"/>
  <c r="F668" i="25"/>
  <c r="G668" i="25"/>
  <c r="F669" i="25"/>
  <c r="G669" i="25"/>
  <c r="F670" i="25"/>
  <c r="G670" i="25"/>
  <c r="F671" i="25"/>
  <c r="G671" i="25"/>
  <c r="F672" i="25"/>
  <c r="G672" i="25"/>
  <c r="F673" i="25"/>
  <c r="G673" i="25"/>
  <c r="F674" i="25"/>
  <c r="G674" i="25"/>
  <c r="F675" i="25"/>
  <c r="G675" i="25"/>
  <c r="F676" i="25"/>
  <c r="G676" i="25"/>
  <c r="F677" i="25"/>
  <c r="G677" i="25"/>
  <c r="F678" i="25"/>
  <c r="G678" i="25"/>
  <c r="F679" i="25"/>
  <c r="G679" i="25"/>
  <c r="F680" i="25"/>
  <c r="G680" i="25"/>
  <c r="F681" i="25"/>
  <c r="G681" i="25"/>
  <c r="F682" i="25"/>
  <c r="G682" i="25"/>
  <c r="F683" i="25"/>
  <c r="G683" i="25"/>
  <c r="F684" i="25"/>
  <c r="G684" i="25"/>
  <c r="F685" i="25"/>
  <c r="G685" i="25"/>
  <c r="F686" i="25"/>
  <c r="G686" i="25"/>
  <c r="F687" i="25"/>
  <c r="G687" i="25"/>
  <c r="F688" i="25"/>
  <c r="G688" i="25"/>
  <c r="F689" i="25"/>
  <c r="G689" i="25"/>
  <c r="F690" i="25"/>
  <c r="G690" i="25"/>
  <c r="F691" i="25"/>
  <c r="G691" i="25"/>
  <c r="F692" i="25"/>
  <c r="G692" i="25"/>
  <c r="F693" i="25"/>
  <c r="G693" i="25"/>
  <c r="F694" i="25"/>
  <c r="G694" i="25"/>
  <c r="F695" i="25"/>
  <c r="G695" i="25"/>
  <c r="F696" i="25"/>
  <c r="G696" i="25"/>
  <c r="F697" i="25"/>
  <c r="G697" i="25"/>
  <c r="F698" i="25"/>
  <c r="G698" i="25"/>
  <c r="F699" i="25"/>
  <c r="G699" i="25"/>
  <c r="F700" i="25"/>
  <c r="G700" i="25"/>
  <c r="F701" i="25"/>
  <c r="G701" i="25"/>
  <c r="F702" i="25"/>
  <c r="G702" i="25"/>
  <c r="F703" i="25"/>
  <c r="G703" i="25"/>
  <c r="F704" i="25"/>
  <c r="G704" i="25"/>
  <c r="F705" i="25"/>
  <c r="G705" i="25"/>
  <c r="F706" i="25"/>
  <c r="G706" i="25"/>
  <c r="F707" i="25"/>
  <c r="G707" i="25"/>
  <c r="F708" i="25"/>
  <c r="G708" i="25"/>
  <c r="F709" i="25"/>
  <c r="G709" i="25"/>
  <c r="F710" i="25"/>
  <c r="G710" i="25"/>
  <c r="F711" i="25"/>
  <c r="G711" i="25"/>
  <c r="F712" i="25"/>
  <c r="G712" i="25"/>
  <c r="F713" i="25"/>
  <c r="G713" i="25"/>
  <c r="F714" i="25"/>
  <c r="G714" i="25"/>
  <c r="F715" i="25"/>
  <c r="G715" i="25"/>
  <c r="F716" i="25"/>
  <c r="G716" i="25"/>
  <c r="F717" i="25"/>
  <c r="G717" i="25"/>
  <c r="F718" i="25"/>
  <c r="G718" i="25"/>
  <c r="F719" i="25"/>
  <c r="G719" i="25"/>
  <c r="F720" i="25"/>
  <c r="G720" i="25"/>
  <c r="F721" i="25"/>
  <c r="G721" i="25"/>
  <c r="F722" i="25"/>
  <c r="G722" i="25"/>
  <c r="F723" i="25"/>
  <c r="G723" i="25"/>
  <c r="F724" i="25"/>
  <c r="G724" i="25"/>
  <c r="F725" i="25"/>
  <c r="G725" i="25"/>
  <c r="F726" i="25"/>
  <c r="G726" i="25"/>
  <c r="F727" i="25"/>
  <c r="G727" i="25"/>
  <c r="F728" i="25"/>
  <c r="G728" i="25"/>
  <c r="F729" i="25"/>
  <c r="G729" i="25"/>
  <c r="F730" i="25"/>
  <c r="G730" i="25"/>
  <c r="F731" i="25"/>
  <c r="G731" i="25"/>
  <c r="F732" i="25"/>
  <c r="G732" i="25"/>
  <c r="F733" i="25"/>
  <c r="G733" i="25"/>
  <c r="F734" i="25"/>
  <c r="G734" i="25"/>
  <c r="F735" i="25"/>
  <c r="G735" i="25"/>
  <c r="F736" i="25"/>
  <c r="G736" i="25"/>
  <c r="F737" i="25"/>
  <c r="G737" i="25"/>
  <c r="F738" i="25"/>
  <c r="G738" i="25"/>
  <c r="F739" i="25"/>
  <c r="G739" i="25"/>
  <c r="F740" i="25"/>
  <c r="G740" i="25"/>
  <c r="F741" i="25"/>
  <c r="G741" i="25"/>
  <c r="F742" i="25"/>
  <c r="G742" i="25"/>
  <c r="F743" i="25"/>
  <c r="G743" i="25"/>
  <c r="F744" i="25"/>
  <c r="G744" i="25"/>
  <c r="F745" i="25"/>
  <c r="G745" i="25"/>
  <c r="F746" i="25"/>
  <c r="G746" i="25"/>
  <c r="F747" i="25"/>
  <c r="G747" i="25"/>
  <c r="F748" i="25"/>
  <c r="G748" i="25"/>
  <c r="F749" i="25"/>
  <c r="G749" i="25"/>
  <c r="F750" i="25"/>
  <c r="G750" i="25"/>
  <c r="F751" i="25"/>
  <c r="G751" i="25"/>
  <c r="F752" i="25"/>
  <c r="G752" i="25"/>
  <c r="F753" i="25"/>
  <c r="G753" i="25"/>
  <c r="F755" i="25"/>
  <c r="G755" i="25"/>
  <c r="F756" i="25"/>
  <c r="G756" i="25"/>
  <c r="F757" i="25"/>
  <c r="G757" i="25"/>
  <c r="F758" i="25"/>
  <c r="G758" i="25"/>
  <c r="F759" i="25"/>
  <c r="G759" i="25"/>
  <c r="F761" i="25"/>
  <c r="G761" i="25"/>
  <c r="F762" i="25"/>
  <c r="G762" i="25"/>
  <c r="F763" i="25"/>
  <c r="G763" i="25"/>
  <c r="F764" i="25"/>
  <c r="G764" i="25"/>
  <c r="F765" i="25"/>
  <c r="G765" i="25"/>
  <c r="H3" i="24" l="1"/>
  <c r="I3" i="24"/>
  <c r="H4" i="24"/>
  <c r="I4" i="24"/>
  <c r="B5" i="24"/>
  <c r="H5" i="24" s="1"/>
  <c r="C5" i="24"/>
  <c r="C9" i="24" s="1"/>
  <c r="D5" i="24"/>
  <c r="D9" i="24" s="1"/>
  <c r="E5" i="24"/>
  <c r="F5" i="24"/>
  <c r="G5" i="24"/>
  <c r="I9" i="24" s="1"/>
  <c r="B6" i="24"/>
  <c r="C6" i="24" s="1"/>
  <c r="D6" i="24" s="1"/>
  <c r="E6" i="24" s="1"/>
  <c r="F6" i="24" s="1"/>
  <c r="G6" i="24" s="1"/>
  <c r="C8" i="24"/>
  <c r="D8" i="24"/>
  <c r="E8" i="24"/>
  <c r="F8" i="24"/>
  <c r="G8" i="24"/>
  <c r="H8" i="24"/>
  <c r="I8" i="24"/>
  <c r="E9" i="24"/>
  <c r="F9" i="24"/>
  <c r="G9" i="24"/>
  <c r="C10" i="24"/>
  <c r="D10" i="24"/>
  <c r="E10" i="24"/>
  <c r="F10" i="24"/>
  <c r="G10" i="24"/>
  <c r="H10" i="24"/>
  <c r="I10" i="24"/>
  <c r="H2" i="22"/>
  <c r="I2" i="22"/>
  <c r="H3" i="22"/>
  <c r="I3" i="22"/>
  <c r="H4" i="22"/>
  <c r="I4" i="22"/>
  <c r="H5" i="22"/>
  <c r="I5" i="22"/>
  <c r="H6" i="22"/>
  <c r="I6" i="22"/>
  <c r="H7" i="22"/>
  <c r="I7" i="22"/>
  <c r="H8" i="22"/>
  <c r="I8" i="22"/>
  <c r="H9" i="22"/>
  <c r="I9" i="22"/>
  <c r="H10" i="22"/>
  <c r="I10" i="22"/>
  <c r="H11" i="22"/>
  <c r="I11" i="22"/>
  <c r="H12" i="22"/>
  <c r="I12" i="22"/>
  <c r="H13" i="22"/>
  <c r="I13" i="22"/>
  <c r="H14" i="22"/>
  <c r="I14" i="22"/>
  <c r="H15" i="22"/>
  <c r="I15" i="22"/>
  <c r="H16" i="22"/>
  <c r="I16" i="22"/>
  <c r="H17" i="22"/>
  <c r="I17" i="22"/>
  <c r="H18" i="22"/>
  <c r="I18" i="22"/>
  <c r="H19" i="22"/>
  <c r="I19" i="22"/>
  <c r="H20" i="22"/>
  <c r="I20" i="22"/>
  <c r="H21" i="22"/>
  <c r="I21" i="22"/>
  <c r="H22" i="22"/>
  <c r="I22" i="22"/>
  <c r="H23" i="22"/>
  <c r="I23" i="22"/>
  <c r="H24" i="22"/>
  <c r="I24" i="22"/>
  <c r="H25" i="22"/>
  <c r="I25" i="22"/>
  <c r="H26" i="22"/>
  <c r="I26" i="22"/>
  <c r="H27" i="22"/>
  <c r="I27" i="22"/>
  <c r="H28" i="22"/>
  <c r="I28" i="22"/>
  <c r="H29" i="22"/>
  <c r="I29" i="22"/>
  <c r="H30" i="22"/>
  <c r="I30" i="22"/>
  <c r="H31" i="22"/>
  <c r="I31" i="22"/>
  <c r="H32" i="22"/>
  <c r="I32" i="22"/>
  <c r="H33" i="22"/>
  <c r="I33" i="22"/>
  <c r="H34" i="22"/>
  <c r="I34" i="22"/>
  <c r="H35" i="22"/>
  <c r="I35" i="22"/>
  <c r="H36" i="22"/>
  <c r="I36" i="22"/>
  <c r="H37" i="22"/>
  <c r="I37" i="22"/>
  <c r="H38" i="22"/>
  <c r="I38" i="22"/>
  <c r="H39" i="22"/>
  <c r="I39" i="22"/>
  <c r="H40" i="22"/>
  <c r="I40" i="22"/>
  <c r="H41" i="22"/>
  <c r="I41" i="22"/>
  <c r="H42" i="22"/>
  <c r="I42" i="22"/>
  <c r="H43" i="22"/>
  <c r="I43" i="22"/>
  <c r="H44" i="22"/>
  <c r="I44" i="22"/>
  <c r="H45" i="22"/>
  <c r="I45" i="22"/>
  <c r="H46" i="22"/>
  <c r="I46" i="22"/>
  <c r="H47" i="22"/>
  <c r="I47" i="22"/>
  <c r="H48" i="22"/>
  <c r="I48" i="22"/>
  <c r="H49" i="22"/>
  <c r="I49" i="22"/>
  <c r="H50" i="22"/>
  <c r="I50" i="22"/>
  <c r="H51" i="22"/>
  <c r="I51" i="22"/>
  <c r="H52" i="22"/>
  <c r="I52" i="22"/>
  <c r="H53" i="22"/>
  <c r="I53" i="22"/>
  <c r="H54" i="22"/>
  <c r="I54" i="22"/>
  <c r="H55" i="22"/>
  <c r="I55" i="22"/>
  <c r="H56" i="22"/>
  <c r="I56" i="22"/>
  <c r="H57" i="22"/>
  <c r="I57" i="22"/>
  <c r="H58" i="22"/>
  <c r="I58" i="22"/>
  <c r="H59" i="22"/>
  <c r="I59" i="22"/>
  <c r="H60" i="22"/>
  <c r="I60" i="22"/>
  <c r="H61" i="22"/>
  <c r="I61" i="22"/>
  <c r="H62" i="22"/>
  <c r="I62" i="22"/>
  <c r="H63" i="22"/>
  <c r="I63" i="22"/>
  <c r="H64" i="22"/>
  <c r="I64" i="22"/>
  <c r="H65" i="22"/>
  <c r="I65" i="22"/>
  <c r="H66" i="22"/>
  <c r="I66" i="22"/>
  <c r="H67" i="22"/>
  <c r="I67" i="22"/>
  <c r="H68" i="22"/>
  <c r="I68" i="22"/>
  <c r="H69" i="22"/>
  <c r="I69" i="22"/>
  <c r="H70" i="22"/>
  <c r="I70" i="22"/>
  <c r="H71" i="22"/>
  <c r="I71" i="22"/>
  <c r="H72" i="22"/>
  <c r="I72" i="22"/>
  <c r="H73" i="22"/>
  <c r="I73" i="22"/>
  <c r="H74" i="22"/>
  <c r="I74" i="22"/>
  <c r="H75" i="22"/>
  <c r="I75" i="22"/>
  <c r="H76" i="22"/>
  <c r="I76" i="22"/>
  <c r="H77" i="22"/>
  <c r="I77" i="22"/>
  <c r="H78" i="22"/>
  <c r="I78" i="22"/>
  <c r="H79" i="22"/>
  <c r="I79" i="22"/>
  <c r="H80" i="22"/>
  <c r="I80" i="22"/>
  <c r="H81" i="22"/>
  <c r="I81" i="22"/>
  <c r="H82" i="22"/>
  <c r="I82" i="22"/>
  <c r="H83" i="22"/>
  <c r="I83" i="22"/>
  <c r="H84" i="22"/>
  <c r="I84" i="22"/>
  <c r="H85" i="22"/>
  <c r="I85" i="22"/>
  <c r="H86" i="22"/>
  <c r="I86" i="22"/>
  <c r="H87" i="22"/>
  <c r="I87" i="22"/>
  <c r="H88" i="22"/>
  <c r="I88" i="22"/>
  <c r="H89" i="22"/>
  <c r="I89" i="22"/>
  <c r="H90" i="22"/>
  <c r="I90" i="22"/>
  <c r="H91" i="22"/>
  <c r="I91" i="22"/>
  <c r="H92" i="22"/>
  <c r="I92" i="22"/>
  <c r="H93" i="22"/>
  <c r="I93" i="22"/>
  <c r="H94" i="22"/>
  <c r="I94" i="22"/>
  <c r="H95" i="22"/>
  <c r="I95" i="22"/>
  <c r="H96" i="22"/>
  <c r="I96" i="22"/>
  <c r="H97" i="22"/>
  <c r="I97" i="22"/>
  <c r="H98" i="22"/>
  <c r="I98" i="22"/>
  <c r="H99" i="22"/>
  <c r="I99" i="22"/>
  <c r="H100" i="22"/>
  <c r="I100" i="22"/>
  <c r="H101" i="22"/>
  <c r="I101" i="22"/>
  <c r="H102" i="22"/>
  <c r="I102" i="22"/>
  <c r="H103" i="22"/>
  <c r="I103" i="22"/>
  <c r="H104" i="22"/>
  <c r="I104" i="22"/>
  <c r="H105" i="22"/>
  <c r="I105" i="22"/>
  <c r="H106" i="22"/>
  <c r="I106" i="22"/>
  <c r="H107" i="22"/>
  <c r="I107" i="22"/>
  <c r="H108" i="22"/>
  <c r="I108" i="22"/>
  <c r="H109" i="22"/>
  <c r="I109" i="22"/>
  <c r="H110" i="22"/>
  <c r="I110" i="22"/>
  <c r="H111" i="22"/>
  <c r="I111" i="22"/>
  <c r="H112" i="22"/>
  <c r="I112" i="22"/>
  <c r="H113" i="22"/>
  <c r="I113" i="22"/>
  <c r="H114" i="22"/>
  <c r="I114" i="22"/>
  <c r="H115" i="22"/>
  <c r="I115" i="22"/>
  <c r="H116" i="22"/>
  <c r="I116" i="22"/>
  <c r="H117" i="22"/>
  <c r="I117" i="22"/>
  <c r="H118" i="22"/>
  <c r="I118" i="22"/>
  <c r="H119" i="22"/>
  <c r="I119" i="22"/>
  <c r="H120" i="22"/>
  <c r="I120" i="22"/>
  <c r="H121" i="22"/>
  <c r="I121" i="22"/>
  <c r="H122" i="22"/>
  <c r="I122" i="22"/>
  <c r="H123" i="22"/>
  <c r="I123" i="22"/>
  <c r="H124" i="22"/>
  <c r="I124" i="22"/>
  <c r="H125" i="22"/>
  <c r="I125" i="22"/>
  <c r="H126" i="22"/>
  <c r="I126" i="22"/>
  <c r="H127" i="22"/>
  <c r="I127" i="22"/>
  <c r="H128" i="22"/>
  <c r="I128" i="22"/>
  <c r="H129" i="22"/>
  <c r="I129" i="22"/>
  <c r="H130" i="22"/>
  <c r="I130" i="22"/>
  <c r="H131" i="22"/>
  <c r="I131" i="22"/>
  <c r="H132" i="22"/>
  <c r="I132" i="22"/>
  <c r="H133" i="22"/>
  <c r="I133" i="22"/>
  <c r="H134" i="22"/>
  <c r="I134" i="22"/>
  <c r="H135" i="22"/>
  <c r="I135" i="22"/>
  <c r="H136" i="22"/>
  <c r="I136" i="22"/>
  <c r="H137" i="22"/>
  <c r="I137" i="22"/>
  <c r="H138" i="22"/>
  <c r="I138" i="22"/>
  <c r="H139" i="22"/>
  <c r="I139" i="22"/>
  <c r="H140" i="22"/>
  <c r="I140" i="22"/>
  <c r="H141" i="22"/>
  <c r="I141" i="22"/>
  <c r="H142" i="22"/>
  <c r="I142" i="22"/>
  <c r="H143" i="22"/>
  <c r="I143" i="22"/>
  <c r="H144" i="22"/>
  <c r="I144" i="22"/>
  <c r="H145" i="22"/>
  <c r="I145" i="22"/>
  <c r="H146" i="22"/>
  <c r="I146" i="22"/>
  <c r="H147" i="22"/>
  <c r="I147" i="22"/>
  <c r="H148" i="22"/>
  <c r="I148" i="22"/>
  <c r="H149" i="22"/>
  <c r="I149" i="22"/>
  <c r="H150" i="22"/>
  <c r="I150" i="22"/>
  <c r="H151" i="22"/>
  <c r="I151" i="22"/>
  <c r="H152" i="22"/>
  <c r="I152" i="22"/>
  <c r="H153" i="22"/>
  <c r="I153" i="22"/>
  <c r="H154" i="22"/>
  <c r="I154" i="22"/>
  <c r="H155" i="22"/>
  <c r="I155" i="22"/>
  <c r="H156" i="22"/>
  <c r="I156" i="22"/>
  <c r="H157" i="22"/>
  <c r="I157" i="22"/>
  <c r="H158" i="22"/>
  <c r="I158" i="22"/>
  <c r="H159" i="22"/>
  <c r="I159" i="22"/>
  <c r="H160" i="22"/>
  <c r="I160" i="22"/>
  <c r="H161" i="22"/>
  <c r="I161" i="22"/>
  <c r="H162" i="22"/>
  <c r="I162" i="22"/>
  <c r="H163" i="22"/>
  <c r="I163" i="22"/>
  <c r="H164" i="22"/>
  <c r="I164" i="22"/>
  <c r="H165" i="22"/>
  <c r="I165" i="22"/>
  <c r="H166" i="22"/>
  <c r="I166" i="22"/>
  <c r="H167" i="22"/>
  <c r="I167" i="22"/>
  <c r="H168" i="22"/>
  <c r="I168" i="22"/>
  <c r="H169" i="22"/>
  <c r="I169" i="22"/>
  <c r="H170" i="22"/>
  <c r="I170" i="22"/>
  <c r="H171" i="22"/>
  <c r="I171" i="22"/>
  <c r="H172" i="22"/>
  <c r="I172" i="22"/>
  <c r="H173" i="22"/>
  <c r="I173" i="22"/>
  <c r="H174" i="22"/>
  <c r="I174" i="22"/>
  <c r="H175" i="22"/>
  <c r="I175" i="22"/>
  <c r="H176" i="22"/>
  <c r="I176" i="22"/>
  <c r="H177" i="22"/>
  <c r="I177" i="22"/>
  <c r="H178" i="22"/>
  <c r="I178" i="22"/>
  <c r="H179" i="22"/>
  <c r="I179" i="22"/>
  <c r="H180" i="22"/>
  <c r="I180" i="22"/>
  <c r="H181" i="22"/>
  <c r="I181" i="22"/>
  <c r="H182" i="22"/>
  <c r="I182" i="22"/>
  <c r="H183" i="22"/>
  <c r="I183" i="22"/>
  <c r="H184" i="22"/>
  <c r="I184" i="22"/>
  <c r="H185" i="22"/>
  <c r="I185" i="22"/>
  <c r="H186" i="22"/>
  <c r="I186" i="22"/>
  <c r="H187" i="22"/>
  <c r="I187" i="22"/>
  <c r="H188" i="22"/>
  <c r="I188" i="22"/>
  <c r="H189" i="22"/>
  <c r="I189" i="22"/>
  <c r="H190" i="22"/>
  <c r="I190" i="22"/>
  <c r="H191" i="22"/>
  <c r="I191" i="22"/>
  <c r="H192" i="22"/>
  <c r="I192" i="22"/>
  <c r="H193" i="22"/>
  <c r="I193" i="22"/>
  <c r="H194" i="22"/>
  <c r="I194" i="22"/>
  <c r="H195" i="22"/>
  <c r="I195" i="22"/>
  <c r="H196" i="22"/>
  <c r="I196" i="22"/>
  <c r="H197" i="22"/>
  <c r="I197" i="22"/>
  <c r="H198" i="22"/>
  <c r="I198" i="22"/>
  <c r="H199" i="22"/>
  <c r="I199" i="22"/>
  <c r="H200" i="22"/>
  <c r="I200" i="22"/>
  <c r="H201" i="22"/>
  <c r="I201" i="22"/>
  <c r="H202" i="22"/>
  <c r="I202" i="22"/>
  <c r="H203" i="22"/>
  <c r="I203" i="22"/>
  <c r="H204" i="22"/>
  <c r="I204" i="22"/>
  <c r="H205" i="22"/>
  <c r="I205" i="22"/>
  <c r="H206" i="22"/>
  <c r="I206" i="22"/>
  <c r="H207" i="22"/>
  <c r="I207" i="22"/>
  <c r="H208" i="22"/>
  <c r="I208" i="22"/>
  <c r="H209" i="22"/>
  <c r="I209" i="22"/>
  <c r="H210" i="22"/>
  <c r="I210" i="22"/>
  <c r="H211" i="22"/>
  <c r="I211" i="22"/>
  <c r="H212" i="22"/>
  <c r="I212" i="22"/>
  <c r="H213" i="22"/>
  <c r="I213" i="22"/>
  <c r="H214" i="22"/>
  <c r="I214" i="22"/>
  <c r="H215" i="22"/>
  <c r="I215" i="22"/>
  <c r="H216" i="22"/>
  <c r="I216" i="22"/>
  <c r="H217" i="22"/>
  <c r="I217" i="22"/>
  <c r="H218" i="22"/>
  <c r="I218" i="22"/>
  <c r="H219" i="22"/>
  <c r="I219" i="22"/>
  <c r="H220" i="22"/>
  <c r="I220" i="22"/>
  <c r="H221" i="22"/>
  <c r="I221" i="22"/>
  <c r="H222" i="22"/>
  <c r="I222" i="22"/>
  <c r="H223" i="22"/>
  <c r="I223" i="22"/>
  <c r="H224" i="22"/>
  <c r="I224" i="22"/>
  <c r="H225" i="22"/>
  <c r="I225" i="22"/>
  <c r="H226" i="22"/>
  <c r="I226" i="22"/>
  <c r="H227" i="22"/>
  <c r="I227" i="22"/>
  <c r="H228" i="22"/>
  <c r="I228" i="22"/>
  <c r="H229" i="22"/>
  <c r="I229" i="22"/>
  <c r="H230" i="22"/>
  <c r="I230" i="22"/>
  <c r="H231" i="22"/>
  <c r="I231" i="22"/>
  <c r="H232" i="22"/>
  <c r="I232" i="22"/>
  <c r="H233" i="22"/>
  <c r="I233" i="22"/>
  <c r="H234" i="22"/>
  <c r="I234" i="22"/>
  <c r="H235" i="22"/>
  <c r="I235" i="22"/>
  <c r="H236" i="22"/>
  <c r="I236" i="22"/>
  <c r="H237" i="22"/>
  <c r="I237" i="22"/>
  <c r="H238" i="22"/>
  <c r="I238" i="22"/>
  <c r="H239" i="22"/>
  <c r="I239" i="22"/>
  <c r="H240" i="22"/>
  <c r="I240" i="22"/>
  <c r="H241" i="22"/>
  <c r="I241" i="22"/>
  <c r="H242" i="22"/>
  <c r="I242" i="22"/>
  <c r="H243" i="22"/>
  <c r="I243" i="22"/>
  <c r="H244" i="22"/>
  <c r="I244" i="22"/>
  <c r="H245" i="22"/>
  <c r="I245" i="22"/>
  <c r="H246" i="22"/>
  <c r="I246" i="22"/>
  <c r="H247" i="22"/>
  <c r="I247" i="22"/>
  <c r="H248" i="22"/>
  <c r="I248" i="22"/>
  <c r="H249" i="22"/>
  <c r="I249" i="22"/>
  <c r="H250" i="22"/>
  <c r="I250" i="22"/>
  <c r="H251" i="22"/>
  <c r="I251" i="22"/>
  <c r="H252" i="22"/>
  <c r="I252" i="22"/>
  <c r="H253" i="22"/>
  <c r="I253" i="22"/>
  <c r="H254" i="22"/>
  <c r="I254" i="22"/>
  <c r="H255" i="22"/>
  <c r="I255" i="22"/>
  <c r="H256" i="22"/>
  <c r="I256" i="22"/>
  <c r="H257" i="22"/>
  <c r="I257" i="22"/>
  <c r="H258" i="22"/>
  <c r="I258" i="22"/>
  <c r="H259" i="22"/>
  <c r="I259" i="22"/>
  <c r="H260" i="22"/>
  <c r="I260" i="22"/>
  <c r="H261" i="22"/>
  <c r="I261" i="22"/>
  <c r="H262" i="22"/>
  <c r="I262" i="22"/>
  <c r="H263" i="22"/>
  <c r="I263" i="22"/>
  <c r="H264" i="22"/>
  <c r="I264" i="22"/>
  <c r="H265" i="22"/>
  <c r="I265" i="22"/>
  <c r="H266" i="22"/>
  <c r="I266" i="22"/>
  <c r="H267" i="22"/>
  <c r="I267" i="22"/>
  <c r="H268" i="22"/>
  <c r="I268" i="22"/>
  <c r="H269" i="22"/>
  <c r="I269" i="22"/>
  <c r="H270" i="22"/>
  <c r="I270" i="22"/>
  <c r="H271" i="22"/>
  <c r="I271" i="22"/>
  <c r="H272" i="22"/>
  <c r="I272" i="22"/>
  <c r="H273" i="22"/>
  <c r="I273" i="22"/>
  <c r="H274" i="22"/>
  <c r="I274" i="22"/>
  <c r="H275" i="22"/>
  <c r="I275" i="22"/>
  <c r="H276" i="22"/>
  <c r="I276" i="22"/>
  <c r="H277" i="22"/>
  <c r="I277" i="22"/>
  <c r="H278" i="22"/>
  <c r="I278" i="22"/>
  <c r="H279" i="22"/>
  <c r="I279" i="22"/>
  <c r="H280" i="22"/>
  <c r="I280" i="22"/>
  <c r="H281" i="22"/>
  <c r="I281" i="22"/>
  <c r="H282" i="22"/>
  <c r="I282" i="22"/>
  <c r="H283" i="22"/>
  <c r="I283" i="22"/>
  <c r="H284" i="22"/>
  <c r="I284" i="22"/>
  <c r="H285" i="22"/>
  <c r="I285" i="22"/>
  <c r="H286" i="22"/>
  <c r="I286" i="22"/>
  <c r="H287" i="22"/>
  <c r="I287" i="22"/>
  <c r="H288" i="22"/>
  <c r="I288" i="22"/>
  <c r="H289" i="22"/>
  <c r="I289" i="22"/>
  <c r="H290" i="22"/>
  <c r="I290" i="22"/>
  <c r="H291" i="22"/>
  <c r="I291" i="22"/>
  <c r="H292" i="22"/>
  <c r="I292" i="22"/>
  <c r="H293" i="22"/>
  <c r="I293" i="22"/>
  <c r="H294" i="22"/>
  <c r="I294" i="22"/>
  <c r="H295" i="22"/>
  <c r="I295" i="22"/>
  <c r="H296" i="22"/>
  <c r="I296" i="22"/>
  <c r="H297" i="22"/>
  <c r="I297" i="22"/>
  <c r="H298" i="22"/>
  <c r="I298" i="22"/>
  <c r="H299" i="22"/>
  <c r="I299" i="22"/>
  <c r="H300" i="22"/>
  <c r="I300" i="22"/>
  <c r="H301" i="22"/>
  <c r="I301" i="22"/>
  <c r="H302" i="22"/>
  <c r="I302" i="22"/>
  <c r="H303" i="22"/>
  <c r="I303" i="22"/>
  <c r="H304" i="22"/>
  <c r="I304" i="22"/>
  <c r="H305" i="22"/>
  <c r="I305" i="22"/>
  <c r="H306" i="22"/>
  <c r="I306" i="22"/>
  <c r="H307" i="22"/>
  <c r="I307" i="22"/>
  <c r="H308" i="22"/>
  <c r="I308" i="22"/>
  <c r="H309" i="22"/>
  <c r="I309" i="22"/>
  <c r="H310" i="22"/>
  <c r="I310" i="22"/>
  <c r="H311" i="22"/>
  <c r="I311" i="22"/>
  <c r="H312" i="22"/>
  <c r="I312" i="22"/>
  <c r="H313" i="22"/>
  <c r="I313" i="22"/>
  <c r="H314" i="22"/>
  <c r="I314" i="22"/>
  <c r="H315" i="22"/>
  <c r="I315" i="22"/>
  <c r="H316" i="22"/>
  <c r="I316" i="22"/>
  <c r="H317" i="22"/>
  <c r="I317" i="22"/>
  <c r="H318" i="22"/>
  <c r="I318" i="22"/>
  <c r="H319" i="22"/>
  <c r="I319" i="22"/>
  <c r="H320" i="22"/>
  <c r="I320" i="22"/>
  <c r="H321" i="22"/>
  <c r="I321" i="22"/>
  <c r="H322" i="22"/>
  <c r="I322" i="22"/>
  <c r="H323" i="22"/>
  <c r="I323" i="22"/>
  <c r="H324" i="22"/>
  <c r="I324" i="22"/>
  <c r="H325" i="22"/>
  <c r="I325" i="22"/>
  <c r="H326" i="22"/>
  <c r="I326" i="22"/>
  <c r="H327" i="22"/>
  <c r="I327" i="22"/>
  <c r="H328" i="22"/>
  <c r="I328" i="22"/>
  <c r="H329" i="22"/>
  <c r="I329" i="22"/>
  <c r="H330" i="22"/>
  <c r="I330" i="22"/>
  <c r="H331" i="22"/>
  <c r="I331" i="22"/>
  <c r="H332" i="22"/>
  <c r="I332" i="22"/>
  <c r="H333" i="22"/>
  <c r="I333" i="22"/>
  <c r="H334" i="22"/>
  <c r="I334" i="22"/>
  <c r="H335" i="22"/>
  <c r="I335" i="22"/>
  <c r="H336" i="22"/>
  <c r="I336" i="22"/>
  <c r="H337" i="22"/>
  <c r="I337" i="22"/>
  <c r="H338" i="22"/>
  <c r="I338" i="22"/>
  <c r="H339" i="22"/>
  <c r="I339" i="22"/>
  <c r="H340" i="22"/>
  <c r="I340" i="22"/>
  <c r="H341" i="22"/>
  <c r="I341" i="22"/>
  <c r="H342" i="22"/>
  <c r="I342" i="22"/>
  <c r="H343" i="22"/>
  <c r="I343" i="22"/>
  <c r="H344" i="22"/>
  <c r="I344" i="22"/>
  <c r="H345" i="22"/>
  <c r="I345" i="22"/>
  <c r="H346" i="22"/>
  <c r="I346" i="22"/>
  <c r="H347" i="22"/>
  <c r="I347" i="22"/>
  <c r="H348" i="22"/>
  <c r="I348" i="22"/>
  <c r="H349" i="22"/>
  <c r="I349" i="22"/>
  <c r="H350" i="22"/>
  <c r="I350" i="22"/>
  <c r="H351" i="22"/>
  <c r="I351" i="22"/>
  <c r="H352" i="22"/>
  <c r="I352" i="22"/>
  <c r="H353" i="22"/>
  <c r="I353" i="22"/>
  <c r="H354" i="22"/>
  <c r="I354" i="22"/>
  <c r="H355" i="22"/>
  <c r="I355" i="22"/>
  <c r="H356" i="22"/>
  <c r="I356" i="22"/>
  <c r="H357" i="22"/>
  <c r="I357" i="22"/>
  <c r="H358" i="22"/>
  <c r="I358" i="22"/>
  <c r="H359" i="22"/>
  <c r="I359" i="22"/>
  <c r="H360" i="22"/>
  <c r="I360" i="22"/>
  <c r="H361" i="22"/>
  <c r="I361" i="22"/>
  <c r="H362" i="22"/>
  <c r="I362" i="22"/>
  <c r="H363" i="22"/>
  <c r="I363" i="22"/>
  <c r="H364" i="22"/>
  <c r="I364" i="22"/>
  <c r="H365" i="22"/>
  <c r="I365" i="22"/>
  <c r="H366" i="22"/>
  <c r="I366" i="22"/>
  <c r="H367" i="22"/>
  <c r="I367" i="22"/>
  <c r="H368" i="22"/>
  <c r="I368" i="22"/>
  <c r="H369" i="22"/>
  <c r="I369" i="22"/>
  <c r="H370" i="22"/>
  <c r="I370" i="22"/>
  <c r="H371" i="22"/>
  <c r="I371" i="22"/>
  <c r="H372" i="22"/>
  <c r="I372" i="22"/>
  <c r="H373" i="22"/>
  <c r="I373" i="22"/>
  <c r="H374" i="22"/>
  <c r="I374" i="22"/>
  <c r="H375" i="22"/>
  <c r="I375" i="22"/>
  <c r="H376" i="22"/>
  <c r="I376" i="22"/>
  <c r="H377" i="22"/>
  <c r="I377" i="22"/>
  <c r="H378" i="22"/>
  <c r="I378" i="22"/>
  <c r="H379" i="22"/>
  <c r="I379" i="22"/>
  <c r="H380" i="22"/>
  <c r="I380" i="22"/>
  <c r="H381" i="22"/>
  <c r="I381" i="22"/>
  <c r="H382" i="22"/>
  <c r="I382" i="22"/>
  <c r="H383" i="22"/>
  <c r="I383" i="22"/>
  <c r="H384" i="22"/>
  <c r="I384" i="22"/>
  <c r="H385" i="22"/>
  <c r="I385" i="22"/>
  <c r="H386" i="22"/>
  <c r="I386" i="22"/>
  <c r="H387" i="22"/>
  <c r="I387" i="22"/>
  <c r="H388" i="22"/>
  <c r="I388" i="22"/>
  <c r="H389" i="22"/>
  <c r="I389" i="22"/>
  <c r="H390" i="22"/>
  <c r="I390" i="22"/>
  <c r="H391" i="22"/>
  <c r="I391" i="22"/>
  <c r="H392" i="22"/>
  <c r="I392" i="22"/>
  <c r="H393" i="22"/>
  <c r="I393" i="22"/>
  <c r="H394" i="22"/>
  <c r="I394" i="22"/>
  <c r="H395" i="22"/>
  <c r="I395" i="22"/>
  <c r="H396" i="22"/>
  <c r="I396" i="22"/>
  <c r="H397" i="22"/>
  <c r="I397" i="22"/>
  <c r="H398" i="22"/>
  <c r="I398" i="22"/>
  <c r="H399" i="22"/>
  <c r="I399" i="22"/>
  <c r="H400" i="22"/>
  <c r="I400" i="22"/>
  <c r="H401" i="22"/>
  <c r="I401" i="22"/>
  <c r="H402" i="22"/>
  <c r="I402" i="22"/>
  <c r="H403" i="22"/>
  <c r="I403" i="22"/>
  <c r="H404" i="22"/>
  <c r="I404" i="22"/>
  <c r="H405" i="22"/>
  <c r="I405" i="22"/>
  <c r="H406" i="22"/>
  <c r="I406" i="22"/>
  <c r="H407" i="22"/>
  <c r="I407" i="22"/>
  <c r="H408" i="22"/>
  <c r="I408" i="22"/>
  <c r="H409" i="22"/>
  <c r="I409" i="22"/>
  <c r="H410" i="22"/>
  <c r="I410" i="22"/>
  <c r="H411" i="22"/>
  <c r="I411" i="22"/>
  <c r="H412" i="22"/>
  <c r="I412" i="22"/>
  <c r="H413" i="22"/>
  <c r="I413" i="22"/>
  <c r="H414" i="22"/>
  <c r="I414" i="22"/>
  <c r="H415" i="22"/>
  <c r="I415" i="22"/>
  <c r="H416" i="22"/>
  <c r="I416" i="22"/>
  <c r="H417" i="22"/>
  <c r="I417" i="22"/>
  <c r="H418" i="22"/>
  <c r="I418" i="22"/>
  <c r="H419" i="22"/>
  <c r="I419" i="22"/>
  <c r="H420" i="22"/>
  <c r="I420" i="22"/>
  <c r="H421" i="22"/>
  <c r="I421" i="22"/>
  <c r="H422" i="22"/>
  <c r="I422" i="22"/>
  <c r="H423" i="22"/>
  <c r="I423" i="22"/>
  <c r="H424" i="22"/>
  <c r="I424" i="22"/>
  <c r="H425" i="22"/>
  <c r="I425" i="22"/>
  <c r="H426" i="22"/>
  <c r="I426" i="22"/>
  <c r="H427" i="22"/>
  <c r="I427" i="22"/>
  <c r="H428" i="22"/>
  <c r="I428" i="22"/>
  <c r="H429" i="22"/>
  <c r="I429" i="22"/>
  <c r="H430" i="22"/>
  <c r="I430" i="22"/>
  <c r="H431" i="22"/>
  <c r="I431" i="22"/>
  <c r="H432" i="22"/>
  <c r="I432" i="22"/>
  <c r="H433" i="22"/>
  <c r="I433" i="22"/>
  <c r="H434" i="22"/>
  <c r="I434" i="22"/>
  <c r="H435" i="22"/>
  <c r="I435" i="22"/>
  <c r="H436" i="22"/>
  <c r="I436" i="22"/>
  <c r="H437" i="22"/>
  <c r="I437" i="22"/>
  <c r="H438" i="22"/>
  <c r="I438" i="22"/>
  <c r="H439" i="22"/>
  <c r="I439" i="22"/>
  <c r="H440" i="22"/>
  <c r="I440" i="22"/>
  <c r="H441" i="22"/>
  <c r="I441" i="22"/>
  <c r="H442" i="22"/>
  <c r="I442" i="22"/>
  <c r="H443" i="22"/>
  <c r="I443" i="22"/>
  <c r="H444" i="22"/>
  <c r="I444" i="22"/>
  <c r="H445" i="22"/>
  <c r="I445" i="22"/>
  <c r="H446" i="22"/>
  <c r="I446" i="22"/>
  <c r="H447" i="22"/>
  <c r="I447" i="22"/>
  <c r="H448" i="22"/>
  <c r="I448" i="22"/>
  <c r="H449" i="22"/>
  <c r="I449" i="22"/>
  <c r="H450" i="22"/>
  <c r="I450" i="22"/>
  <c r="H451" i="22"/>
  <c r="I451" i="22"/>
  <c r="H452" i="22"/>
  <c r="I452" i="22"/>
  <c r="H453" i="22"/>
  <c r="I453" i="22"/>
  <c r="H454" i="22"/>
  <c r="I454" i="22"/>
  <c r="H455" i="22"/>
  <c r="I455" i="22"/>
  <c r="H456" i="22"/>
  <c r="I456" i="22"/>
  <c r="H457" i="22"/>
  <c r="I457" i="22"/>
  <c r="H458" i="22"/>
  <c r="I458" i="22"/>
  <c r="H459" i="22"/>
  <c r="I459" i="22"/>
  <c r="H460" i="22"/>
  <c r="I460" i="22"/>
  <c r="H461" i="22"/>
  <c r="I461" i="22"/>
  <c r="H462" i="22"/>
  <c r="I462" i="22"/>
  <c r="H463" i="22"/>
  <c r="I463" i="22"/>
  <c r="H464" i="22"/>
  <c r="I464" i="22"/>
  <c r="H465" i="22"/>
  <c r="I465" i="22"/>
  <c r="H466" i="22"/>
  <c r="I466" i="22"/>
  <c r="H467" i="22"/>
  <c r="I467" i="22"/>
  <c r="H468" i="22"/>
  <c r="I468" i="22"/>
  <c r="H469" i="22"/>
  <c r="I469" i="22"/>
  <c r="H470" i="22"/>
  <c r="I470" i="22"/>
  <c r="H471" i="22"/>
  <c r="I471" i="22"/>
  <c r="H472" i="22"/>
  <c r="I472" i="22"/>
  <c r="H473" i="22"/>
  <c r="I473" i="22"/>
  <c r="H474" i="22"/>
  <c r="I474" i="22"/>
  <c r="H475" i="22"/>
  <c r="I475" i="22"/>
  <c r="H476" i="22"/>
  <c r="I476" i="22"/>
  <c r="H477" i="22"/>
  <c r="I477" i="22"/>
  <c r="H478" i="22"/>
  <c r="I478" i="22"/>
  <c r="H479" i="22"/>
  <c r="I479" i="22"/>
  <c r="H480" i="22"/>
  <c r="I480" i="22"/>
  <c r="H481" i="22"/>
  <c r="I481" i="22"/>
  <c r="H482" i="22"/>
  <c r="I482" i="22"/>
  <c r="H483" i="22"/>
  <c r="I483" i="22"/>
  <c r="H484" i="22"/>
  <c r="I484" i="22"/>
  <c r="H485" i="22"/>
  <c r="I485" i="22"/>
  <c r="H486" i="22"/>
  <c r="I486" i="22"/>
  <c r="H487" i="22"/>
  <c r="I487" i="22"/>
  <c r="H488" i="22"/>
  <c r="I488" i="22"/>
  <c r="H489" i="22"/>
  <c r="I489" i="22"/>
  <c r="H490" i="22"/>
  <c r="I490" i="22"/>
  <c r="H491" i="22"/>
  <c r="I491" i="22"/>
  <c r="H492" i="22"/>
  <c r="I492" i="22"/>
  <c r="H493" i="22"/>
  <c r="I493" i="22"/>
  <c r="H494" i="22"/>
  <c r="I494" i="22"/>
  <c r="H495" i="22"/>
  <c r="I495" i="22"/>
  <c r="H496" i="22"/>
  <c r="I496" i="22"/>
  <c r="H497" i="22"/>
  <c r="I497" i="22"/>
  <c r="H498" i="22"/>
  <c r="I498" i="22"/>
  <c r="H499" i="22"/>
  <c r="I499" i="22"/>
  <c r="H500" i="22"/>
  <c r="I500" i="22"/>
  <c r="H501" i="22"/>
  <c r="I501" i="22"/>
  <c r="H502" i="22"/>
  <c r="I502" i="22"/>
  <c r="H503" i="22"/>
  <c r="I503" i="22"/>
  <c r="H504" i="22"/>
  <c r="I504" i="22"/>
  <c r="H505" i="22"/>
  <c r="I505" i="22"/>
  <c r="H506" i="22"/>
  <c r="I506" i="22"/>
  <c r="H507" i="22"/>
  <c r="I507" i="22"/>
  <c r="H508" i="22"/>
  <c r="I508" i="22"/>
  <c r="H509" i="22"/>
  <c r="I509" i="22"/>
  <c r="H510" i="22"/>
  <c r="I510" i="22"/>
  <c r="H511" i="22"/>
  <c r="I511" i="22"/>
  <c r="H512" i="22"/>
  <c r="I512" i="22"/>
  <c r="H513" i="22"/>
  <c r="I513" i="22"/>
  <c r="H514" i="22"/>
  <c r="I514" i="22"/>
  <c r="H515" i="22"/>
  <c r="I515" i="22"/>
  <c r="H516" i="22"/>
  <c r="I516" i="22"/>
  <c r="H517" i="22"/>
  <c r="I517" i="22"/>
  <c r="H518" i="22"/>
  <c r="I518" i="22"/>
  <c r="H519" i="22"/>
  <c r="I519" i="22"/>
  <c r="H520" i="22"/>
  <c r="I520" i="22"/>
  <c r="H521" i="22"/>
  <c r="I521" i="22"/>
  <c r="H522" i="22"/>
  <c r="I522" i="22"/>
  <c r="H523" i="22"/>
  <c r="I523" i="22"/>
  <c r="H524" i="22"/>
  <c r="I524" i="22"/>
  <c r="H525" i="22"/>
  <c r="I525" i="22"/>
  <c r="H526" i="22"/>
  <c r="I526" i="22"/>
  <c r="H527" i="22"/>
  <c r="I527" i="22"/>
  <c r="H528" i="22"/>
  <c r="I528" i="22"/>
  <c r="H529" i="22"/>
  <c r="I529" i="22"/>
  <c r="H530" i="22"/>
  <c r="I530" i="22"/>
  <c r="H531" i="22"/>
  <c r="I531" i="22"/>
  <c r="H532" i="22"/>
  <c r="I532" i="22"/>
  <c r="H533" i="22"/>
  <c r="I533" i="22"/>
  <c r="H534" i="22"/>
  <c r="I534" i="22"/>
  <c r="H535" i="22"/>
  <c r="I535" i="22"/>
  <c r="H536" i="22"/>
  <c r="I536" i="22"/>
  <c r="H537" i="22"/>
  <c r="I537" i="22"/>
  <c r="H538" i="22"/>
  <c r="I538" i="22"/>
  <c r="H539" i="22"/>
  <c r="I539" i="22"/>
  <c r="H540" i="22"/>
  <c r="I540" i="22"/>
  <c r="H541" i="22"/>
  <c r="I541" i="22"/>
  <c r="H542" i="22"/>
  <c r="I542" i="22"/>
  <c r="H543" i="22"/>
  <c r="I543" i="22"/>
  <c r="H544" i="22"/>
  <c r="I544" i="22"/>
  <c r="H545" i="22"/>
  <c r="I545" i="22"/>
  <c r="H546" i="22"/>
  <c r="I546" i="22"/>
  <c r="H547" i="22"/>
  <c r="I547" i="22"/>
  <c r="H548" i="22"/>
  <c r="I548" i="22"/>
  <c r="H549" i="22"/>
  <c r="I549" i="22"/>
  <c r="H550" i="22"/>
  <c r="I550" i="22"/>
  <c r="H551" i="22"/>
  <c r="I551" i="22"/>
  <c r="H552" i="22"/>
  <c r="I552" i="22"/>
  <c r="H553" i="22"/>
  <c r="I553" i="22"/>
  <c r="H554" i="22"/>
  <c r="I554" i="22"/>
  <c r="H555" i="22"/>
  <c r="I555" i="22"/>
  <c r="H556" i="22"/>
  <c r="I556" i="22"/>
  <c r="H557" i="22"/>
  <c r="I557" i="22"/>
  <c r="H558" i="22"/>
  <c r="I558" i="22"/>
  <c r="H559" i="22"/>
  <c r="I559" i="22"/>
  <c r="H560" i="22"/>
  <c r="I560" i="22"/>
  <c r="H561" i="22"/>
  <c r="I561" i="22"/>
  <c r="H562" i="22"/>
  <c r="I562" i="22"/>
  <c r="H563" i="22"/>
  <c r="I563" i="22"/>
  <c r="H564" i="22"/>
  <c r="I564" i="22"/>
  <c r="H565" i="22"/>
  <c r="I565" i="22"/>
  <c r="H566" i="22"/>
  <c r="I566" i="22"/>
  <c r="H567" i="22"/>
  <c r="I567" i="22"/>
  <c r="H568" i="22"/>
  <c r="I568" i="22"/>
  <c r="H569" i="22"/>
  <c r="I569" i="22"/>
  <c r="H570" i="22"/>
  <c r="I570" i="22"/>
  <c r="H571" i="22"/>
  <c r="I571" i="22"/>
  <c r="H572" i="22"/>
  <c r="I572" i="22"/>
  <c r="H573" i="22"/>
  <c r="I573" i="22"/>
  <c r="H574" i="22"/>
  <c r="I574" i="22"/>
  <c r="H575" i="22"/>
  <c r="I575" i="22"/>
  <c r="H576" i="22"/>
  <c r="I576" i="22"/>
  <c r="H577" i="22"/>
  <c r="I577" i="22"/>
  <c r="H578" i="22"/>
  <c r="I578" i="22"/>
  <c r="H579" i="22"/>
  <c r="I579" i="22"/>
  <c r="H580" i="22"/>
  <c r="I580" i="22"/>
  <c r="H581" i="22"/>
  <c r="I581" i="22"/>
  <c r="H582" i="22"/>
  <c r="I582" i="22"/>
  <c r="H583" i="22"/>
  <c r="I583" i="22"/>
  <c r="H584" i="22"/>
  <c r="I584" i="22"/>
  <c r="H585" i="22"/>
  <c r="I585" i="22"/>
  <c r="H586" i="22"/>
  <c r="I586" i="22"/>
  <c r="H587" i="22"/>
  <c r="I587" i="22"/>
  <c r="H588" i="22"/>
  <c r="I588" i="22"/>
  <c r="H589" i="22"/>
  <c r="I589" i="22"/>
  <c r="H590" i="22"/>
  <c r="I590" i="22"/>
  <c r="H591" i="22"/>
  <c r="I591" i="22"/>
  <c r="H592" i="22"/>
  <c r="I592" i="22"/>
  <c r="H593" i="22"/>
  <c r="I593" i="22"/>
  <c r="H594" i="22"/>
  <c r="I594" i="22"/>
  <c r="H595" i="22"/>
  <c r="I595" i="22"/>
  <c r="H596" i="22"/>
  <c r="I596" i="22"/>
  <c r="H597" i="22"/>
  <c r="I597" i="22"/>
  <c r="H598" i="22"/>
  <c r="I598" i="22"/>
  <c r="H599" i="22"/>
  <c r="I599" i="22"/>
  <c r="H600" i="22"/>
  <c r="I600" i="22"/>
  <c r="H601" i="22"/>
  <c r="I601" i="22"/>
  <c r="H602" i="22"/>
  <c r="I602" i="22"/>
  <c r="H603" i="22"/>
  <c r="I603" i="22"/>
  <c r="H604" i="22"/>
  <c r="I604" i="22"/>
  <c r="H605" i="22"/>
  <c r="I605" i="22"/>
  <c r="H606" i="22"/>
  <c r="I606" i="22"/>
  <c r="H607" i="22"/>
  <c r="I607" i="22"/>
  <c r="H608" i="22"/>
  <c r="I608" i="22"/>
  <c r="H609" i="22"/>
  <c r="I609" i="22"/>
  <c r="H610" i="22"/>
  <c r="I610" i="22"/>
  <c r="H611" i="22"/>
  <c r="I611" i="22"/>
  <c r="H612" i="22"/>
  <c r="I612" i="22"/>
  <c r="H613" i="22"/>
  <c r="I613" i="22"/>
  <c r="H614" i="22"/>
  <c r="I614" i="22"/>
  <c r="H615" i="22"/>
  <c r="I615" i="22"/>
  <c r="H616" i="22"/>
  <c r="I616" i="22"/>
  <c r="H617" i="22"/>
  <c r="I617" i="22"/>
  <c r="H618" i="22"/>
  <c r="I618" i="22"/>
  <c r="H619" i="22"/>
  <c r="I619" i="22"/>
  <c r="H620" i="22"/>
  <c r="I620" i="22"/>
  <c r="H621" i="22"/>
  <c r="I621" i="22"/>
  <c r="H622" i="22"/>
  <c r="I622" i="22"/>
  <c r="H623" i="22"/>
  <c r="I623" i="22"/>
  <c r="H624" i="22"/>
  <c r="I624" i="22"/>
  <c r="H625" i="22"/>
  <c r="I625" i="22"/>
  <c r="H626" i="22"/>
  <c r="I626" i="22"/>
  <c r="H627" i="22"/>
  <c r="I627" i="22"/>
  <c r="H628" i="22"/>
  <c r="I628" i="22"/>
  <c r="H629" i="22"/>
  <c r="I629" i="22"/>
  <c r="H630" i="22"/>
  <c r="I630" i="22"/>
  <c r="H631" i="22"/>
  <c r="I631" i="22"/>
  <c r="H632" i="22"/>
  <c r="I632" i="22"/>
  <c r="H633" i="22"/>
  <c r="I633" i="22"/>
  <c r="H634" i="22"/>
  <c r="I634" i="22"/>
  <c r="H635" i="22"/>
  <c r="I635" i="22"/>
  <c r="H636" i="22"/>
  <c r="I636" i="22"/>
  <c r="H637" i="22"/>
  <c r="I637" i="22"/>
  <c r="H638" i="22"/>
  <c r="I638" i="22"/>
  <c r="H639" i="22"/>
  <c r="I639" i="22"/>
  <c r="H640" i="22"/>
  <c r="I640" i="22"/>
  <c r="H641" i="22"/>
  <c r="I641" i="22"/>
  <c r="H642" i="22"/>
  <c r="I642" i="22"/>
  <c r="H643" i="22"/>
  <c r="I643" i="22"/>
  <c r="H644" i="22"/>
  <c r="I644" i="22"/>
  <c r="H645" i="22"/>
  <c r="I645" i="22"/>
  <c r="H646" i="22"/>
  <c r="I646" i="22"/>
  <c r="H647" i="22"/>
  <c r="I647" i="22"/>
  <c r="H648" i="22"/>
  <c r="I648" i="22"/>
  <c r="H649" i="22"/>
  <c r="I649" i="22"/>
  <c r="H650" i="22"/>
  <c r="I650" i="22"/>
  <c r="H651" i="22"/>
  <c r="I651" i="22"/>
  <c r="H652" i="22"/>
  <c r="I652" i="22"/>
  <c r="H653" i="22"/>
  <c r="I653" i="22"/>
  <c r="H654" i="22"/>
  <c r="I654" i="22"/>
  <c r="H655" i="22"/>
  <c r="I655" i="22"/>
  <c r="H656" i="22"/>
  <c r="I656" i="22"/>
  <c r="H657" i="22"/>
  <c r="I657" i="22"/>
  <c r="H658" i="22"/>
  <c r="I658" i="22"/>
  <c r="H659" i="22"/>
  <c r="I659" i="22"/>
  <c r="H660" i="22"/>
  <c r="I660" i="22"/>
  <c r="H661" i="22"/>
  <c r="I661" i="22"/>
  <c r="H662" i="22"/>
  <c r="I662" i="22"/>
  <c r="H663" i="22"/>
  <c r="I663" i="22"/>
  <c r="H664" i="22"/>
  <c r="I664" i="22"/>
  <c r="H665" i="22"/>
  <c r="I665" i="22"/>
  <c r="H666" i="22"/>
  <c r="I666" i="22"/>
  <c r="H667" i="22"/>
  <c r="I667" i="22"/>
  <c r="H668" i="22"/>
  <c r="I668" i="22"/>
  <c r="H669" i="22"/>
  <c r="I669" i="22"/>
  <c r="H670" i="22"/>
  <c r="I670" i="22"/>
  <c r="H671" i="22"/>
  <c r="I671" i="22"/>
  <c r="H672" i="22"/>
  <c r="I672" i="22"/>
  <c r="H673" i="22"/>
  <c r="I673" i="22"/>
  <c r="H674" i="22"/>
  <c r="I674" i="22"/>
  <c r="H675" i="22"/>
  <c r="I675" i="22"/>
  <c r="H676" i="22"/>
  <c r="I676" i="22"/>
  <c r="H677" i="22"/>
  <c r="I677" i="22"/>
  <c r="H678" i="22"/>
  <c r="I678" i="22"/>
  <c r="H679" i="22"/>
  <c r="I679" i="22"/>
  <c r="H680" i="22"/>
  <c r="I680" i="22"/>
  <c r="H681" i="22"/>
  <c r="I681" i="22"/>
  <c r="H682" i="22"/>
  <c r="I682" i="22"/>
  <c r="H683" i="22"/>
  <c r="I683" i="22"/>
  <c r="H684" i="22"/>
  <c r="I684" i="22"/>
  <c r="H685" i="22"/>
  <c r="I685" i="22"/>
  <c r="H686" i="22"/>
  <c r="I686" i="22"/>
  <c r="H687" i="22"/>
  <c r="I687" i="22"/>
  <c r="H688" i="22"/>
  <c r="I688" i="22"/>
  <c r="H689" i="22"/>
  <c r="I689" i="22"/>
  <c r="H690" i="22"/>
  <c r="I690" i="22"/>
  <c r="H691" i="22"/>
  <c r="I691" i="22"/>
  <c r="H692" i="22"/>
  <c r="I692" i="22"/>
  <c r="H693" i="22"/>
  <c r="I693" i="22"/>
  <c r="H694" i="22"/>
  <c r="I694" i="22"/>
  <c r="H695" i="22"/>
  <c r="I695" i="22"/>
  <c r="H696" i="22"/>
  <c r="I696" i="22"/>
  <c r="H697" i="22"/>
  <c r="I697" i="22"/>
  <c r="H698" i="22"/>
  <c r="I698" i="22"/>
  <c r="H699" i="22"/>
  <c r="I699" i="22"/>
  <c r="H700" i="22"/>
  <c r="I700" i="22"/>
  <c r="H701" i="22"/>
  <c r="I701" i="22"/>
  <c r="H702" i="22"/>
  <c r="I702" i="22"/>
  <c r="H703" i="22"/>
  <c r="I703" i="22"/>
  <c r="H704" i="22"/>
  <c r="I704" i="22"/>
  <c r="H705" i="22"/>
  <c r="I705" i="22"/>
  <c r="H706" i="22"/>
  <c r="I706" i="22"/>
  <c r="H707" i="22"/>
  <c r="I707" i="22"/>
  <c r="H708" i="22"/>
  <c r="I708" i="22"/>
  <c r="H709" i="22"/>
  <c r="I709" i="22"/>
  <c r="H710" i="22"/>
  <c r="I710" i="22"/>
  <c r="H711" i="22"/>
  <c r="I711" i="22"/>
  <c r="H712" i="22"/>
  <c r="I712" i="22"/>
  <c r="H713" i="22"/>
  <c r="I713" i="22"/>
  <c r="H714" i="22"/>
  <c r="I714" i="22"/>
  <c r="H715" i="22"/>
  <c r="I715" i="22"/>
  <c r="H716" i="22"/>
  <c r="I716" i="22"/>
  <c r="H717" i="22"/>
  <c r="I717" i="22"/>
  <c r="H718" i="22"/>
  <c r="I718" i="22"/>
  <c r="H719" i="22"/>
  <c r="I719" i="22"/>
  <c r="H720" i="22"/>
  <c r="I720" i="22"/>
  <c r="H721" i="22"/>
  <c r="I721" i="22"/>
  <c r="H722" i="22"/>
  <c r="I722" i="22"/>
  <c r="H723" i="22"/>
  <c r="I723" i="22"/>
  <c r="H724" i="22"/>
  <c r="I724" i="22"/>
  <c r="H725" i="22"/>
  <c r="I725" i="22"/>
  <c r="H726" i="22"/>
  <c r="I726" i="22"/>
  <c r="H727" i="22"/>
  <c r="I727" i="22"/>
  <c r="H728" i="22"/>
  <c r="I728" i="22"/>
  <c r="H729" i="22"/>
  <c r="I729" i="22"/>
  <c r="H730" i="22"/>
  <c r="I730" i="22"/>
  <c r="H731" i="22"/>
  <c r="I731" i="22"/>
  <c r="H732" i="22"/>
  <c r="I732" i="22"/>
  <c r="H733" i="22"/>
  <c r="I733" i="22"/>
  <c r="H734" i="22"/>
  <c r="I734" i="22"/>
  <c r="H735" i="22"/>
  <c r="I735" i="22"/>
  <c r="H736" i="22"/>
  <c r="I736" i="22"/>
  <c r="H737" i="22"/>
  <c r="I737" i="22"/>
  <c r="H738" i="22"/>
  <c r="I738" i="22"/>
  <c r="H739" i="22"/>
  <c r="I739" i="22"/>
  <c r="H740" i="22"/>
  <c r="I740" i="22"/>
  <c r="H741" i="22"/>
  <c r="I741" i="22"/>
  <c r="H742" i="22"/>
  <c r="I742" i="22"/>
  <c r="H9" i="24" l="1"/>
  <c r="I5" i="24"/>
  <c r="G2" i="15" l="1"/>
  <c r="H2" i="15"/>
  <c r="G3" i="15"/>
  <c r="H3" i="15"/>
  <c r="G4" i="15"/>
  <c r="H4" i="15"/>
  <c r="G5" i="15"/>
  <c r="H5" i="15"/>
  <c r="G6" i="15"/>
  <c r="H6" i="15"/>
  <c r="G7" i="15"/>
  <c r="H7" i="15"/>
  <c r="G8" i="15"/>
  <c r="H8" i="15"/>
  <c r="G9" i="15"/>
  <c r="H9" i="15"/>
  <c r="G10" i="15"/>
  <c r="H10" i="15"/>
  <c r="G11" i="15"/>
  <c r="H11" i="15"/>
  <c r="G12" i="15"/>
  <c r="H12" i="15"/>
  <c r="G13" i="15"/>
  <c r="H13" i="15"/>
  <c r="G14" i="15"/>
  <c r="H14" i="15"/>
  <c r="G15" i="15"/>
  <c r="H15" i="15"/>
  <c r="G16" i="15"/>
  <c r="H16" i="15"/>
  <c r="G17" i="15"/>
  <c r="H17" i="15"/>
  <c r="G18" i="15"/>
  <c r="H18" i="15"/>
  <c r="G19" i="15"/>
  <c r="H19" i="15"/>
  <c r="G20" i="15"/>
  <c r="H20" i="15"/>
  <c r="G21" i="15"/>
  <c r="H21" i="15"/>
  <c r="G22" i="15"/>
  <c r="H22" i="15"/>
  <c r="G23" i="15"/>
  <c r="H23" i="15"/>
  <c r="G24" i="15"/>
  <c r="H24" i="15"/>
  <c r="G25" i="15"/>
  <c r="H25" i="15"/>
  <c r="G26" i="15"/>
  <c r="H26" i="15"/>
  <c r="G27" i="15"/>
  <c r="H27" i="15"/>
  <c r="G28" i="15"/>
  <c r="H28" i="15"/>
  <c r="G29" i="15"/>
  <c r="H29" i="15"/>
  <c r="G30" i="15"/>
  <c r="H30" i="15"/>
  <c r="G31" i="15"/>
  <c r="H31" i="15"/>
  <c r="G32" i="15"/>
  <c r="H32" i="15"/>
  <c r="G33" i="15"/>
  <c r="H33" i="15"/>
  <c r="G34" i="15"/>
  <c r="H34" i="15"/>
  <c r="G35" i="15"/>
  <c r="H35" i="15"/>
  <c r="G36" i="15"/>
  <c r="H36" i="15"/>
  <c r="G37" i="15"/>
  <c r="H37" i="15"/>
  <c r="G38" i="15"/>
  <c r="H38" i="15"/>
  <c r="G39" i="15"/>
  <c r="H39" i="15"/>
  <c r="G40" i="15"/>
  <c r="H40" i="15"/>
  <c r="G41" i="15"/>
  <c r="H41" i="15"/>
  <c r="G42" i="15"/>
  <c r="H42" i="15"/>
  <c r="G43" i="15"/>
  <c r="H43" i="15"/>
  <c r="G44" i="15"/>
  <c r="H44" i="15"/>
  <c r="G45" i="15"/>
  <c r="H45" i="15"/>
  <c r="G46" i="15"/>
  <c r="H46" i="15"/>
  <c r="G47" i="15"/>
  <c r="H47" i="15"/>
  <c r="G48" i="15"/>
  <c r="H48" i="15"/>
  <c r="G49" i="15"/>
  <c r="H49" i="15"/>
  <c r="G50" i="15"/>
  <c r="H50" i="15"/>
  <c r="G51" i="15"/>
  <c r="H51" i="15"/>
  <c r="G52" i="15"/>
  <c r="H52" i="15"/>
  <c r="G53" i="15"/>
  <c r="H53" i="15"/>
  <c r="G54" i="15"/>
  <c r="H54" i="15"/>
  <c r="G55" i="15"/>
  <c r="H55" i="15"/>
  <c r="G56" i="15"/>
  <c r="H56" i="15"/>
  <c r="G57" i="15"/>
  <c r="H57" i="15"/>
  <c r="G58" i="15"/>
  <c r="H58" i="15"/>
  <c r="G59" i="15"/>
  <c r="H59" i="15"/>
  <c r="G60" i="15"/>
  <c r="H60" i="15"/>
  <c r="G61" i="15"/>
  <c r="H61" i="15"/>
  <c r="G62" i="15"/>
  <c r="H62" i="15"/>
  <c r="G63" i="15"/>
  <c r="H63" i="15"/>
  <c r="G64" i="15"/>
  <c r="H64" i="15"/>
  <c r="G65" i="15"/>
  <c r="H65" i="15"/>
  <c r="G66" i="15"/>
  <c r="H66" i="15"/>
  <c r="G67" i="15"/>
  <c r="H67" i="15"/>
  <c r="G68" i="15"/>
  <c r="H68" i="15"/>
  <c r="G69" i="15"/>
  <c r="H69" i="15"/>
  <c r="G70" i="15"/>
  <c r="H70" i="15"/>
  <c r="G71" i="15"/>
  <c r="H71" i="15"/>
  <c r="G72" i="15"/>
  <c r="H72" i="15"/>
  <c r="G73" i="15"/>
  <c r="H73" i="15"/>
  <c r="G74" i="15"/>
  <c r="H74" i="15"/>
  <c r="G75" i="15"/>
  <c r="H75" i="15"/>
  <c r="G76" i="15"/>
  <c r="H76" i="15"/>
  <c r="G77" i="15"/>
  <c r="H77" i="15"/>
  <c r="G78" i="15"/>
  <c r="H78" i="15"/>
  <c r="G79" i="15"/>
  <c r="H79" i="15"/>
  <c r="G80" i="15"/>
  <c r="H80" i="15"/>
  <c r="G81" i="15"/>
  <c r="H81" i="15"/>
  <c r="G82" i="15"/>
  <c r="H82" i="15"/>
  <c r="G83" i="15"/>
  <c r="H83" i="15"/>
  <c r="G84" i="15"/>
  <c r="H84" i="15"/>
  <c r="G85" i="15"/>
  <c r="H85" i="15"/>
  <c r="G86" i="15"/>
  <c r="H86" i="15"/>
  <c r="G87" i="15"/>
  <c r="H87" i="15"/>
  <c r="G88" i="15"/>
  <c r="H88" i="15"/>
  <c r="G89" i="15"/>
  <c r="H89" i="15"/>
  <c r="G90" i="15"/>
  <c r="H90" i="15"/>
  <c r="G91" i="15"/>
  <c r="H91" i="15"/>
  <c r="G92" i="15"/>
  <c r="H92" i="15"/>
  <c r="G93" i="15"/>
  <c r="H93" i="15"/>
  <c r="G94" i="15"/>
  <c r="H94" i="15"/>
  <c r="G95" i="15"/>
  <c r="H95" i="15"/>
  <c r="G96" i="15"/>
  <c r="H96" i="15"/>
  <c r="G97" i="15"/>
  <c r="H97" i="15"/>
  <c r="G98" i="15"/>
  <c r="H98" i="15"/>
  <c r="G99" i="15"/>
  <c r="H99" i="15"/>
  <c r="G100" i="15"/>
  <c r="H100" i="15"/>
  <c r="G101" i="15"/>
  <c r="H101" i="15"/>
  <c r="G102" i="15"/>
  <c r="H102" i="15"/>
  <c r="G103" i="15"/>
  <c r="H103" i="15"/>
  <c r="G104" i="15"/>
  <c r="H104" i="15"/>
  <c r="G105" i="15"/>
  <c r="H105" i="15"/>
  <c r="G106" i="15"/>
  <c r="H106" i="15"/>
  <c r="G107" i="15"/>
  <c r="H107" i="15"/>
  <c r="G108" i="15"/>
  <c r="H108" i="15"/>
  <c r="G109" i="15"/>
  <c r="H109" i="15"/>
  <c r="G110" i="15"/>
  <c r="H110" i="15"/>
  <c r="G111" i="15"/>
  <c r="H111" i="15"/>
  <c r="G112" i="15"/>
  <c r="H112" i="15"/>
  <c r="G113" i="15"/>
  <c r="H113" i="15"/>
  <c r="G114" i="15"/>
  <c r="H114" i="15"/>
  <c r="G115" i="15"/>
  <c r="H115" i="15"/>
  <c r="G116" i="15"/>
  <c r="H116" i="15"/>
  <c r="G117" i="15"/>
  <c r="H117" i="15"/>
  <c r="G118" i="15"/>
  <c r="H118" i="15"/>
  <c r="G119" i="15"/>
  <c r="H119" i="15"/>
  <c r="G120" i="15"/>
  <c r="H120" i="15"/>
  <c r="G121" i="15"/>
  <c r="H121" i="15"/>
  <c r="G122" i="15"/>
  <c r="H122" i="15"/>
  <c r="G123" i="15"/>
  <c r="H123" i="15"/>
  <c r="G124" i="15"/>
  <c r="H124" i="15"/>
  <c r="G125" i="15"/>
  <c r="H125" i="15"/>
  <c r="G126" i="15"/>
  <c r="H126" i="15"/>
  <c r="G127" i="15"/>
  <c r="H127" i="15"/>
  <c r="G128" i="15"/>
  <c r="H128" i="15"/>
  <c r="G129" i="15"/>
  <c r="H129" i="15"/>
  <c r="G130" i="15"/>
  <c r="H130" i="15"/>
  <c r="G131" i="15"/>
  <c r="H131" i="15"/>
  <c r="G132" i="15"/>
  <c r="H132" i="15"/>
  <c r="G133" i="15"/>
  <c r="H133" i="15"/>
  <c r="G134" i="15"/>
  <c r="H134" i="15"/>
  <c r="G135" i="15"/>
  <c r="H135" i="15"/>
  <c r="G136" i="15"/>
  <c r="H136" i="15"/>
  <c r="G137" i="15"/>
  <c r="H137" i="15"/>
  <c r="G138" i="15"/>
  <c r="H138" i="15"/>
  <c r="G139" i="15"/>
  <c r="H139" i="15"/>
  <c r="G140" i="15"/>
  <c r="H140" i="15"/>
  <c r="G141" i="15"/>
  <c r="H141" i="15"/>
  <c r="G142" i="15"/>
  <c r="H142" i="15"/>
  <c r="G143" i="15"/>
  <c r="H143" i="15"/>
  <c r="G144" i="15"/>
  <c r="H144" i="15"/>
  <c r="G145" i="15"/>
  <c r="H145" i="15"/>
  <c r="G146" i="15"/>
  <c r="H146" i="15"/>
  <c r="G147" i="15"/>
  <c r="H147" i="15"/>
  <c r="G148" i="15"/>
  <c r="H148" i="15"/>
  <c r="G149" i="15"/>
  <c r="H149" i="15"/>
  <c r="G150" i="15"/>
  <c r="H150" i="15"/>
  <c r="G151" i="15"/>
  <c r="H151" i="15"/>
  <c r="G152" i="15"/>
  <c r="H152" i="15"/>
  <c r="G153" i="15"/>
  <c r="H153" i="15"/>
  <c r="G154" i="15"/>
  <c r="H154" i="15"/>
  <c r="G155" i="15"/>
  <c r="H155" i="15"/>
  <c r="G156" i="15"/>
  <c r="H156" i="15"/>
  <c r="G157" i="15"/>
  <c r="H157" i="15"/>
  <c r="G158" i="15"/>
  <c r="H158" i="15"/>
  <c r="G159" i="15"/>
  <c r="H159" i="15"/>
  <c r="G160" i="15"/>
  <c r="H160" i="15"/>
  <c r="G161" i="15"/>
  <c r="H161" i="15"/>
  <c r="G162" i="15"/>
  <c r="H162" i="15"/>
  <c r="G163" i="15"/>
  <c r="H163" i="15"/>
  <c r="G164" i="15"/>
  <c r="H164" i="15"/>
  <c r="G165" i="15"/>
  <c r="H165" i="15"/>
  <c r="G166" i="15"/>
  <c r="H166" i="15"/>
  <c r="G167" i="15"/>
  <c r="H167" i="15"/>
  <c r="G168" i="15"/>
  <c r="H168" i="15"/>
  <c r="G169" i="15"/>
  <c r="H169" i="15"/>
  <c r="G170" i="15"/>
  <c r="H170" i="15"/>
  <c r="G171" i="15"/>
  <c r="H171" i="15"/>
  <c r="G172" i="15"/>
  <c r="H172" i="15"/>
  <c r="G173" i="15"/>
  <c r="H173" i="15"/>
  <c r="G174" i="15"/>
  <c r="H174" i="15"/>
  <c r="G175" i="15"/>
  <c r="H175" i="15"/>
  <c r="G176" i="15"/>
  <c r="H176" i="15"/>
  <c r="G177" i="15"/>
  <c r="H177" i="15"/>
  <c r="G178" i="15"/>
  <c r="H178" i="15"/>
  <c r="G179" i="15"/>
  <c r="H179" i="15"/>
  <c r="G180" i="15"/>
  <c r="H180" i="15"/>
  <c r="G181" i="15"/>
  <c r="H181" i="15"/>
  <c r="G182" i="15"/>
  <c r="H182" i="15"/>
  <c r="G183" i="15"/>
  <c r="H183" i="15"/>
  <c r="G184" i="15"/>
  <c r="H184" i="15"/>
  <c r="G185" i="15"/>
  <c r="H185" i="15"/>
  <c r="G186" i="15"/>
  <c r="H186" i="15"/>
  <c r="G187" i="15"/>
  <c r="H187" i="15"/>
  <c r="G188" i="15"/>
  <c r="H188" i="15"/>
  <c r="G189" i="15"/>
  <c r="H189" i="15"/>
  <c r="G190" i="15"/>
  <c r="H190" i="15"/>
  <c r="G191" i="15"/>
  <c r="H191" i="15"/>
  <c r="G192" i="15"/>
  <c r="H192" i="15"/>
  <c r="G193" i="15"/>
  <c r="H193" i="15"/>
  <c r="G194" i="15"/>
  <c r="H194" i="15"/>
  <c r="G195" i="15"/>
  <c r="H195" i="15"/>
  <c r="G196" i="15"/>
  <c r="H196" i="15"/>
  <c r="G197" i="15"/>
  <c r="H197" i="15"/>
  <c r="G198" i="15"/>
  <c r="H198" i="15"/>
  <c r="G199" i="15"/>
  <c r="H199" i="15"/>
  <c r="G200" i="15"/>
  <c r="H200" i="15"/>
  <c r="G201" i="15"/>
  <c r="H201" i="15"/>
  <c r="G202" i="15"/>
  <c r="H202" i="15"/>
  <c r="G203" i="15"/>
  <c r="H203" i="15"/>
  <c r="G204" i="15"/>
  <c r="H204" i="15"/>
  <c r="G205" i="15"/>
  <c r="H205" i="15"/>
  <c r="G206" i="15"/>
  <c r="H206" i="15"/>
  <c r="G207" i="15"/>
  <c r="H207" i="15"/>
  <c r="G208" i="15"/>
  <c r="H208" i="15"/>
  <c r="G209" i="15"/>
  <c r="H209" i="15"/>
  <c r="G210" i="15"/>
  <c r="H210" i="15"/>
  <c r="G211" i="15"/>
  <c r="H211" i="15"/>
  <c r="G212" i="15"/>
  <c r="H212" i="15"/>
  <c r="G213" i="15"/>
  <c r="H213" i="15"/>
  <c r="G214" i="15"/>
  <c r="H214" i="15"/>
  <c r="G215" i="15"/>
  <c r="H215" i="15"/>
  <c r="G216" i="15"/>
  <c r="H216" i="15"/>
  <c r="G217" i="15"/>
  <c r="H217" i="15"/>
  <c r="G218" i="15"/>
  <c r="H218" i="15"/>
  <c r="G219" i="15"/>
  <c r="H219" i="15"/>
  <c r="G220" i="15"/>
  <c r="H220" i="15"/>
  <c r="G221" i="15"/>
  <c r="H221" i="15"/>
  <c r="G222" i="15"/>
  <c r="H222" i="15"/>
  <c r="G223" i="15"/>
  <c r="H223" i="15"/>
  <c r="G224" i="15"/>
  <c r="H224" i="15"/>
  <c r="G225" i="15"/>
  <c r="H225" i="15"/>
  <c r="G226" i="15"/>
  <c r="H226" i="15"/>
  <c r="G227" i="15"/>
  <c r="H227" i="15"/>
  <c r="G228" i="15"/>
  <c r="H228" i="15"/>
  <c r="G229" i="15"/>
  <c r="H229" i="15"/>
  <c r="G230" i="15"/>
  <c r="H230" i="15"/>
  <c r="G231" i="15"/>
  <c r="H231" i="15"/>
  <c r="G232" i="15"/>
  <c r="H232" i="15"/>
  <c r="G233" i="15"/>
  <c r="H233" i="15"/>
  <c r="G234" i="15"/>
  <c r="H234" i="15"/>
  <c r="G235" i="15"/>
  <c r="H235" i="15"/>
  <c r="G236" i="15"/>
  <c r="H236" i="15"/>
  <c r="G237" i="15"/>
  <c r="H237" i="15"/>
  <c r="G238" i="15"/>
  <c r="H238" i="15"/>
  <c r="G239" i="15"/>
  <c r="H239" i="15"/>
  <c r="G240" i="15"/>
  <c r="H240" i="15"/>
  <c r="G241" i="15"/>
  <c r="H241" i="15"/>
  <c r="G242" i="15"/>
  <c r="H242" i="15"/>
  <c r="G243" i="15"/>
  <c r="H243" i="15"/>
  <c r="G244" i="15"/>
  <c r="H244" i="15"/>
  <c r="G245" i="15"/>
  <c r="H245" i="15"/>
  <c r="G246" i="15"/>
  <c r="H246" i="15"/>
  <c r="G247" i="15"/>
  <c r="H247" i="15"/>
  <c r="G248" i="15"/>
  <c r="H248" i="15"/>
  <c r="G249" i="15"/>
  <c r="H249" i="15"/>
  <c r="G250" i="15"/>
  <c r="H250" i="15"/>
  <c r="G251" i="15"/>
  <c r="H251" i="15"/>
  <c r="G252" i="15"/>
  <c r="H252" i="15"/>
  <c r="G253" i="15"/>
  <c r="H253" i="15"/>
  <c r="G254" i="15"/>
  <c r="H254" i="15"/>
  <c r="G255" i="15"/>
  <c r="H255" i="15"/>
  <c r="G256" i="15"/>
  <c r="H256" i="15"/>
  <c r="G257" i="15"/>
  <c r="H257" i="15"/>
  <c r="G258" i="15"/>
  <c r="H258" i="15"/>
  <c r="G259" i="15"/>
  <c r="H259" i="15"/>
  <c r="G260" i="15"/>
  <c r="H260" i="15"/>
  <c r="G261" i="15"/>
  <c r="H261" i="15"/>
  <c r="G262" i="15"/>
  <c r="H262" i="15"/>
  <c r="G263" i="15"/>
  <c r="H263" i="15"/>
  <c r="G264" i="15"/>
  <c r="H264" i="15"/>
  <c r="G265" i="15"/>
  <c r="H265" i="15"/>
  <c r="G266" i="15"/>
  <c r="H266" i="15"/>
  <c r="G267" i="15"/>
  <c r="H267" i="15"/>
  <c r="G268" i="15"/>
  <c r="H268" i="15"/>
  <c r="G269" i="15"/>
  <c r="H269" i="15"/>
  <c r="G270" i="15"/>
  <c r="H270" i="15"/>
  <c r="G271" i="15"/>
  <c r="H271" i="15"/>
  <c r="G272" i="15"/>
  <c r="H272" i="15"/>
  <c r="G273" i="15"/>
  <c r="H273" i="15"/>
  <c r="G274" i="15"/>
  <c r="H274" i="15"/>
  <c r="G275" i="15"/>
  <c r="H275" i="15"/>
  <c r="G276" i="15"/>
  <c r="H276" i="15"/>
  <c r="G277" i="15"/>
  <c r="H277" i="15"/>
  <c r="G278" i="15"/>
  <c r="H278" i="15"/>
  <c r="G279" i="15"/>
  <c r="H279" i="15"/>
  <c r="G280" i="15"/>
  <c r="H280" i="15"/>
  <c r="G281" i="15"/>
  <c r="H281" i="15"/>
  <c r="G282" i="15"/>
  <c r="H282" i="15"/>
  <c r="G283" i="15"/>
  <c r="H283" i="15"/>
  <c r="G284" i="15"/>
  <c r="H284" i="15"/>
  <c r="G285" i="15"/>
  <c r="H285" i="15"/>
  <c r="G286" i="15"/>
  <c r="H286" i="15"/>
  <c r="G287" i="15"/>
  <c r="H287" i="15"/>
  <c r="G288" i="15"/>
  <c r="H288" i="15"/>
  <c r="G289" i="15"/>
  <c r="H289" i="15"/>
  <c r="G290" i="15"/>
  <c r="H290" i="15"/>
  <c r="G291" i="15"/>
  <c r="H291" i="15"/>
  <c r="G292" i="15"/>
  <c r="H292" i="15"/>
  <c r="G293" i="15"/>
  <c r="H293" i="15"/>
  <c r="G294" i="15"/>
  <c r="H294" i="15"/>
  <c r="G295" i="15"/>
  <c r="H295" i="15"/>
  <c r="G296" i="15"/>
  <c r="H296" i="15"/>
  <c r="G297" i="15"/>
  <c r="H297" i="15"/>
  <c r="G298" i="15"/>
  <c r="H298" i="15"/>
  <c r="G299" i="15"/>
  <c r="H299" i="15"/>
  <c r="G300" i="15"/>
  <c r="H300" i="15"/>
  <c r="G301" i="15"/>
  <c r="H301" i="15"/>
  <c r="G302" i="15"/>
  <c r="H302" i="15"/>
  <c r="G303" i="15"/>
  <c r="H303" i="15"/>
  <c r="G304" i="15"/>
  <c r="H304" i="15"/>
  <c r="G305" i="15"/>
  <c r="H305" i="15"/>
  <c r="G306" i="15"/>
  <c r="H306" i="15"/>
  <c r="G307" i="15"/>
  <c r="H307" i="15"/>
  <c r="G308" i="15"/>
  <c r="H308" i="15"/>
  <c r="G309" i="15"/>
  <c r="H309" i="15"/>
  <c r="G310" i="15"/>
  <c r="H310" i="15"/>
  <c r="G311" i="15"/>
  <c r="H311" i="15"/>
  <c r="G312" i="15"/>
  <c r="H312" i="15"/>
  <c r="G313" i="15"/>
  <c r="H313" i="15"/>
  <c r="G314" i="15"/>
  <c r="H314" i="15"/>
  <c r="G315" i="15"/>
  <c r="H315" i="15"/>
  <c r="G316" i="15"/>
  <c r="H316" i="15"/>
  <c r="G317" i="15"/>
  <c r="H317" i="15"/>
  <c r="G318" i="15"/>
  <c r="H318" i="15"/>
  <c r="G319" i="15"/>
  <c r="H319" i="15"/>
  <c r="G320" i="15"/>
  <c r="H320" i="15"/>
  <c r="G321" i="15"/>
  <c r="H321" i="15"/>
  <c r="G322" i="15"/>
  <c r="H322" i="15"/>
  <c r="G323" i="15"/>
  <c r="H323" i="15"/>
  <c r="G324" i="15"/>
  <c r="H324" i="15"/>
  <c r="G325" i="15"/>
  <c r="H325" i="15"/>
  <c r="G326" i="15"/>
  <c r="H326" i="15"/>
  <c r="G327" i="15"/>
  <c r="H327" i="15"/>
  <c r="G328" i="15"/>
  <c r="H328" i="15"/>
  <c r="G329" i="15"/>
  <c r="H329" i="15"/>
  <c r="G330" i="15"/>
  <c r="H330" i="15"/>
  <c r="G331" i="15"/>
  <c r="H331" i="15"/>
  <c r="G332" i="15"/>
  <c r="H332" i="15"/>
  <c r="G333" i="15"/>
  <c r="H333" i="15"/>
  <c r="G334" i="15"/>
  <c r="H334" i="15"/>
  <c r="G335" i="15"/>
  <c r="H335" i="15"/>
  <c r="G336" i="15"/>
  <c r="H336" i="15"/>
  <c r="G337" i="15"/>
  <c r="H337" i="15"/>
  <c r="G338" i="15"/>
  <c r="H338" i="15"/>
  <c r="G339" i="15"/>
  <c r="H339" i="15"/>
  <c r="G340" i="15"/>
  <c r="H340" i="15"/>
  <c r="G341" i="15"/>
  <c r="H341" i="15"/>
  <c r="G342" i="15"/>
  <c r="H342" i="15"/>
  <c r="G343" i="15"/>
  <c r="H343" i="15"/>
  <c r="G344" i="15"/>
  <c r="H344" i="15"/>
  <c r="G345" i="15"/>
  <c r="H345" i="15"/>
  <c r="G346" i="15"/>
  <c r="H346" i="15"/>
  <c r="G347" i="15"/>
  <c r="H347" i="15"/>
  <c r="G348" i="15"/>
  <c r="H348" i="15"/>
  <c r="G349" i="15"/>
  <c r="H349" i="15"/>
  <c r="G350" i="15"/>
  <c r="H350" i="15"/>
  <c r="G351" i="15"/>
  <c r="H351" i="15"/>
  <c r="G352" i="15"/>
  <c r="H352" i="15"/>
  <c r="G353" i="15"/>
  <c r="H353" i="15"/>
  <c r="G354" i="15"/>
  <c r="H354" i="15"/>
  <c r="G355" i="15"/>
  <c r="H355" i="15"/>
  <c r="G356" i="15"/>
  <c r="H356" i="15"/>
  <c r="G357" i="15"/>
  <c r="H357" i="15"/>
  <c r="G358" i="15"/>
  <c r="H358" i="15"/>
  <c r="G359" i="15"/>
  <c r="H359" i="15"/>
  <c r="G360" i="15"/>
  <c r="H360" i="15"/>
  <c r="G361" i="15"/>
  <c r="H361" i="15"/>
  <c r="G362" i="15"/>
  <c r="H362" i="15"/>
  <c r="G363" i="15"/>
  <c r="H363" i="15"/>
  <c r="G364" i="15"/>
  <c r="H364" i="15"/>
  <c r="G365" i="15"/>
  <c r="H365" i="15"/>
  <c r="G366" i="15"/>
  <c r="H366" i="15"/>
  <c r="G367" i="15"/>
  <c r="H367" i="15"/>
  <c r="G368" i="15"/>
  <c r="H368" i="15"/>
  <c r="G369" i="15"/>
  <c r="H369" i="15"/>
  <c r="G370" i="15"/>
  <c r="H370" i="15"/>
  <c r="G371" i="15"/>
  <c r="H371" i="15"/>
  <c r="G372" i="15"/>
  <c r="H372" i="15"/>
  <c r="G373" i="15"/>
  <c r="H373" i="15"/>
  <c r="G374" i="15"/>
  <c r="H374" i="15"/>
  <c r="G375" i="15"/>
  <c r="H375" i="15"/>
  <c r="G376" i="15"/>
  <c r="H376" i="15"/>
  <c r="G377" i="15"/>
  <c r="H377" i="15"/>
  <c r="G378" i="15"/>
  <c r="H378" i="15"/>
  <c r="G379" i="15"/>
  <c r="H379" i="15"/>
  <c r="G380" i="15"/>
  <c r="H380" i="15"/>
  <c r="G381" i="15"/>
  <c r="H381" i="15"/>
  <c r="G382" i="15"/>
  <c r="H382" i="15"/>
  <c r="G383" i="15"/>
  <c r="H383" i="15"/>
  <c r="G384" i="15"/>
  <c r="H384" i="15"/>
  <c r="G385" i="15"/>
  <c r="H385" i="15"/>
  <c r="G386" i="15"/>
  <c r="H386" i="15"/>
  <c r="G387" i="15"/>
  <c r="H387" i="15"/>
  <c r="G388" i="15"/>
  <c r="H388" i="15"/>
  <c r="G389" i="15"/>
  <c r="H389" i="15"/>
  <c r="G390" i="15"/>
  <c r="H390" i="15"/>
  <c r="G391" i="15"/>
  <c r="H391" i="15"/>
  <c r="G392" i="15"/>
  <c r="H392" i="15"/>
  <c r="G393" i="15"/>
  <c r="H393" i="15"/>
  <c r="G394" i="15"/>
  <c r="H394" i="15"/>
  <c r="G395" i="15"/>
  <c r="H395" i="15"/>
  <c r="G396" i="15"/>
  <c r="H396" i="15"/>
  <c r="G397" i="15"/>
  <c r="H397" i="15"/>
  <c r="G398" i="15"/>
  <c r="H398" i="15"/>
  <c r="G399" i="15"/>
  <c r="H399" i="15"/>
  <c r="G400" i="15"/>
  <c r="H400" i="15"/>
  <c r="G401" i="15"/>
  <c r="H401" i="15"/>
  <c r="G402" i="15"/>
  <c r="H402" i="15"/>
  <c r="G403" i="15"/>
  <c r="H403" i="15"/>
  <c r="G404" i="15"/>
  <c r="H404" i="15"/>
  <c r="G405" i="15"/>
  <c r="H405" i="15"/>
  <c r="G406" i="15"/>
  <c r="H406" i="15"/>
  <c r="G407" i="15"/>
  <c r="H407" i="15"/>
  <c r="G408" i="15"/>
  <c r="H408" i="15"/>
  <c r="G409" i="15"/>
  <c r="H409" i="15"/>
  <c r="G410" i="15"/>
  <c r="H410" i="15"/>
  <c r="G411" i="15"/>
  <c r="H411" i="15"/>
  <c r="G412" i="15"/>
  <c r="H412" i="15"/>
  <c r="G413" i="15"/>
  <c r="H413" i="15"/>
  <c r="G414" i="15"/>
  <c r="H414" i="15"/>
  <c r="G415" i="15"/>
  <c r="H415" i="15"/>
  <c r="G416" i="15"/>
  <c r="H416" i="15"/>
  <c r="G417" i="15"/>
  <c r="H417" i="15"/>
  <c r="G418" i="15"/>
  <c r="H418" i="15"/>
  <c r="G419" i="15"/>
  <c r="H419" i="15"/>
  <c r="G420" i="15"/>
  <c r="H420" i="15"/>
  <c r="G421" i="15"/>
  <c r="H421" i="15"/>
  <c r="G422" i="15"/>
  <c r="H422" i="15"/>
  <c r="G423" i="15"/>
  <c r="H423" i="15"/>
  <c r="G424" i="15"/>
  <c r="H424" i="15"/>
  <c r="G425" i="15"/>
  <c r="H425" i="15"/>
  <c r="G426" i="15"/>
  <c r="H426" i="15"/>
  <c r="G427" i="15"/>
  <c r="H427" i="15"/>
  <c r="G428" i="15"/>
  <c r="H428" i="15"/>
  <c r="G429" i="15"/>
  <c r="H429" i="15"/>
  <c r="G430" i="15"/>
  <c r="H430" i="15"/>
  <c r="G431" i="15"/>
  <c r="H431" i="15"/>
  <c r="G432" i="15"/>
  <c r="H432" i="15"/>
  <c r="G433" i="15"/>
  <c r="H433" i="15"/>
  <c r="G434" i="15"/>
  <c r="H434" i="15"/>
  <c r="G435" i="15"/>
  <c r="H435" i="15"/>
  <c r="G436" i="15"/>
  <c r="H436" i="15"/>
  <c r="G437" i="15"/>
  <c r="H437" i="15"/>
  <c r="G438" i="15"/>
  <c r="H438" i="15"/>
  <c r="G439" i="15"/>
  <c r="H439" i="15"/>
  <c r="G440" i="15"/>
  <c r="H440" i="15"/>
  <c r="G441" i="15"/>
  <c r="H441" i="15"/>
  <c r="G442" i="15"/>
  <c r="H442" i="15"/>
  <c r="G443" i="15"/>
  <c r="H443" i="15"/>
  <c r="G444" i="15"/>
  <c r="H444" i="15"/>
  <c r="G445" i="15"/>
  <c r="H445" i="15"/>
  <c r="G446" i="15"/>
  <c r="H446" i="15"/>
  <c r="G447" i="15"/>
  <c r="H447" i="15"/>
  <c r="G448" i="15"/>
  <c r="H448" i="15"/>
  <c r="G449" i="15"/>
  <c r="H449" i="15"/>
  <c r="G450" i="15"/>
  <c r="H450" i="15"/>
  <c r="G451" i="15"/>
  <c r="H451" i="15"/>
  <c r="G452" i="15"/>
  <c r="H452" i="15"/>
  <c r="G453" i="15"/>
  <c r="H453" i="15"/>
  <c r="G454" i="15"/>
  <c r="H454" i="15"/>
  <c r="G455" i="15"/>
  <c r="H455" i="15"/>
  <c r="G456" i="15"/>
  <c r="H456" i="15"/>
  <c r="G457" i="15"/>
  <c r="H457" i="15"/>
  <c r="G458" i="15"/>
  <c r="H458" i="15"/>
  <c r="G459" i="15"/>
  <c r="H459" i="15"/>
  <c r="G460" i="15"/>
  <c r="H460" i="15"/>
  <c r="G461" i="15"/>
  <c r="H461" i="15"/>
  <c r="G462" i="15"/>
  <c r="H462" i="15"/>
  <c r="G463" i="15"/>
  <c r="H463" i="15"/>
  <c r="G464" i="15"/>
  <c r="H464" i="15"/>
  <c r="G465" i="15"/>
  <c r="H465" i="15"/>
  <c r="G466" i="15"/>
  <c r="H466" i="15"/>
  <c r="G467" i="15"/>
  <c r="H467" i="15"/>
  <c r="G468" i="15"/>
  <c r="H468" i="15"/>
  <c r="G469" i="15"/>
  <c r="H469" i="15"/>
  <c r="G470" i="15"/>
  <c r="H470" i="15"/>
  <c r="G471" i="15"/>
  <c r="H471" i="15"/>
  <c r="G472" i="15"/>
  <c r="H472" i="15"/>
  <c r="G473" i="15"/>
  <c r="H473" i="15"/>
  <c r="G474" i="15"/>
  <c r="H474" i="15"/>
  <c r="G475" i="15"/>
  <c r="H475" i="15"/>
  <c r="G476" i="15"/>
  <c r="H476" i="15"/>
  <c r="G477" i="15"/>
  <c r="H477" i="15"/>
  <c r="G478" i="15"/>
  <c r="H478" i="15"/>
  <c r="G479" i="15"/>
  <c r="H479" i="15"/>
  <c r="G480" i="15"/>
  <c r="H480" i="15"/>
  <c r="G481" i="15"/>
  <c r="H481" i="15"/>
  <c r="G482" i="15"/>
  <c r="H482" i="15"/>
  <c r="G483" i="15"/>
  <c r="H483" i="15"/>
  <c r="G484" i="15"/>
  <c r="H484" i="15"/>
  <c r="G485" i="15"/>
  <c r="H485" i="15"/>
  <c r="G486" i="15"/>
  <c r="H486" i="15"/>
  <c r="G487" i="15"/>
  <c r="H487" i="15"/>
  <c r="G488" i="15"/>
  <c r="H488" i="15"/>
  <c r="G489" i="15"/>
  <c r="H489" i="15"/>
  <c r="G490" i="15"/>
  <c r="H490" i="15"/>
  <c r="G491" i="15"/>
  <c r="H491" i="15"/>
  <c r="G492" i="15"/>
  <c r="H492" i="15"/>
  <c r="G493" i="15"/>
  <c r="H493" i="15"/>
  <c r="G494" i="15"/>
  <c r="H494" i="15"/>
  <c r="G495" i="15"/>
  <c r="H495" i="15"/>
  <c r="G496" i="15"/>
  <c r="H496" i="15"/>
  <c r="G497" i="15"/>
  <c r="H497" i="15"/>
  <c r="G498" i="15"/>
  <c r="H498" i="15"/>
  <c r="G499" i="15"/>
  <c r="H499" i="15"/>
  <c r="G500" i="15"/>
  <c r="H500" i="15"/>
  <c r="G501" i="15"/>
  <c r="H501" i="15"/>
  <c r="G502" i="15"/>
  <c r="H502" i="15"/>
  <c r="G503" i="15"/>
  <c r="H503" i="15"/>
  <c r="G504" i="15"/>
  <c r="H504" i="15"/>
  <c r="G505" i="15"/>
  <c r="H505" i="15"/>
  <c r="G506" i="15"/>
  <c r="H506" i="15"/>
  <c r="G507" i="15"/>
  <c r="H507" i="15"/>
  <c r="G508" i="15"/>
  <c r="H508" i="15"/>
  <c r="G509" i="15"/>
  <c r="H509" i="15"/>
  <c r="G510" i="15"/>
  <c r="H510" i="15"/>
  <c r="G511" i="15"/>
  <c r="H511" i="15"/>
  <c r="G512" i="15"/>
  <c r="H512" i="15"/>
  <c r="G513" i="15"/>
  <c r="H513" i="15"/>
  <c r="G514" i="15"/>
  <c r="H514" i="15"/>
  <c r="G515" i="15"/>
  <c r="H515" i="15"/>
  <c r="G516" i="15"/>
  <c r="H516" i="15"/>
  <c r="G517" i="15"/>
  <c r="H517" i="15"/>
  <c r="G518" i="15"/>
  <c r="H518" i="15"/>
  <c r="G519" i="15"/>
  <c r="H519" i="15"/>
  <c r="G520" i="15"/>
  <c r="H520" i="15"/>
  <c r="G521" i="15"/>
  <c r="H521" i="15"/>
  <c r="G522" i="15"/>
  <c r="H522" i="15"/>
  <c r="G523" i="15"/>
  <c r="H523" i="15"/>
  <c r="G524" i="15"/>
  <c r="H524" i="15"/>
  <c r="G525" i="15"/>
  <c r="H525" i="15"/>
  <c r="G526" i="15"/>
  <c r="H526" i="15"/>
  <c r="G527" i="15"/>
  <c r="H527" i="15"/>
  <c r="G528" i="15"/>
  <c r="H528" i="15"/>
  <c r="G529" i="15"/>
  <c r="H529" i="15"/>
  <c r="G530" i="15"/>
  <c r="H530" i="15"/>
  <c r="G531" i="15"/>
  <c r="H531" i="15"/>
  <c r="G532" i="15"/>
  <c r="H532" i="15"/>
  <c r="G533" i="15"/>
  <c r="H533" i="15"/>
  <c r="G534" i="15"/>
  <c r="H534" i="15"/>
  <c r="G535" i="15"/>
  <c r="H535" i="15"/>
  <c r="G536" i="15"/>
  <c r="H536" i="15"/>
  <c r="G537" i="15"/>
  <c r="H537" i="15"/>
  <c r="G538" i="15"/>
  <c r="H538" i="15"/>
  <c r="G539" i="15"/>
  <c r="H539" i="15"/>
  <c r="G540" i="15"/>
  <c r="H540" i="15"/>
  <c r="G541" i="15"/>
  <c r="H541" i="15"/>
  <c r="G542" i="15"/>
  <c r="H542" i="15"/>
  <c r="G543" i="15"/>
  <c r="H543" i="15"/>
  <c r="G544" i="15"/>
  <c r="H544" i="15"/>
  <c r="G545" i="15"/>
  <c r="H545" i="15"/>
  <c r="G546" i="15"/>
  <c r="H546" i="15"/>
  <c r="G547" i="15"/>
  <c r="H547" i="15"/>
  <c r="G548" i="15"/>
  <c r="H548" i="15"/>
  <c r="G549" i="15"/>
  <c r="H549" i="15"/>
  <c r="G550" i="15"/>
  <c r="H550" i="15"/>
  <c r="G551" i="15"/>
  <c r="H551" i="15"/>
  <c r="G552" i="15"/>
  <c r="H552" i="15"/>
  <c r="G553" i="15"/>
  <c r="H553" i="15"/>
  <c r="G554" i="15"/>
  <c r="H554" i="15"/>
  <c r="G555" i="15"/>
  <c r="H555" i="15"/>
  <c r="G556" i="15"/>
  <c r="H556" i="15"/>
  <c r="G557" i="15"/>
  <c r="H557" i="15"/>
  <c r="G558" i="15"/>
  <c r="H558" i="15"/>
  <c r="G559" i="15"/>
  <c r="H559" i="15"/>
  <c r="G560" i="15"/>
  <c r="H560" i="15"/>
  <c r="G561" i="15"/>
  <c r="H561" i="15"/>
  <c r="G562" i="15"/>
  <c r="H562" i="15"/>
  <c r="G563" i="15"/>
  <c r="H563" i="15"/>
  <c r="G564" i="15"/>
  <c r="H564" i="15"/>
  <c r="G565" i="15"/>
  <c r="H565" i="15"/>
  <c r="G566" i="15"/>
  <c r="H566" i="15"/>
  <c r="G567" i="15"/>
  <c r="H567" i="15"/>
  <c r="G568" i="15"/>
  <c r="H568" i="15"/>
  <c r="G569" i="15"/>
  <c r="H569" i="15"/>
  <c r="G570" i="15"/>
  <c r="H570" i="15"/>
  <c r="G571" i="15"/>
  <c r="H571" i="15"/>
  <c r="G572" i="15"/>
  <c r="H572" i="15"/>
  <c r="G573" i="15"/>
  <c r="H573" i="15"/>
  <c r="G574" i="15"/>
  <c r="H574" i="15"/>
  <c r="G575" i="15"/>
  <c r="H575" i="15"/>
  <c r="G576" i="15"/>
  <c r="H576" i="15"/>
  <c r="G577" i="15"/>
  <c r="H577" i="15"/>
  <c r="G578" i="15"/>
  <c r="H578" i="15"/>
  <c r="G579" i="15"/>
  <c r="H579" i="15"/>
  <c r="G580" i="15"/>
  <c r="H580" i="15"/>
  <c r="G581" i="15"/>
  <c r="H581" i="15"/>
  <c r="G582" i="15"/>
  <c r="H582" i="15"/>
  <c r="G583" i="15"/>
  <c r="H583" i="15"/>
  <c r="G584" i="15"/>
  <c r="H584" i="15"/>
  <c r="G585" i="15"/>
  <c r="H585" i="15"/>
  <c r="G586" i="15"/>
  <c r="H586" i="15"/>
  <c r="G587" i="15"/>
  <c r="H587" i="15"/>
  <c r="G588" i="15"/>
  <c r="H588" i="15"/>
  <c r="G589" i="15"/>
  <c r="H589" i="15"/>
  <c r="G590" i="15"/>
  <c r="H590" i="15"/>
  <c r="G591" i="15"/>
  <c r="H591" i="15"/>
  <c r="G592" i="15"/>
  <c r="H592" i="15"/>
  <c r="G593" i="15"/>
  <c r="H593" i="15"/>
  <c r="G594" i="15"/>
  <c r="H594" i="15"/>
  <c r="G595" i="15"/>
  <c r="H595" i="15"/>
  <c r="G596" i="15"/>
  <c r="H596" i="15"/>
  <c r="G597" i="15"/>
  <c r="H597" i="15"/>
  <c r="G598" i="15"/>
  <c r="H598" i="15"/>
  <c r="G599" i="15"/>
  <c r="H599" i="15"/>
  <c r="G600" i="15"/>
  <c r="H600" i="15"/>
  <c r="G601" i="15"/>
  <c r="H601" i="15"/>
  <c r="G602" i="15"/>
  <c r="H602" i="15"/>
  <c r="G603" i="15"/>
  <c r="H603" i="15"/>
  <c r="G604" i="15"/>
  <c r="H604" i="15"/>
  <c r="G605" i="15"/>
  <c r="H605" i="15"/>
  <c r="G606" i="15"/>
  <c r="H606" i="15"/>
  <c r="G607" i="15"/>
  <c r="H607" i="15"/>
  <c r="G608" i="15"/>
  <c r="H608" i="15"/>
  <c r="G609" i="15"/>
  <c r="H609" i="15"/>
  <c r="G610" i="15"/>
  <c r="H610" i="15"/>
  <c r="G611" i="15"/>
  <c r="H611" i="15"/>
  <c r="G612" i="15"/>
  <c r="H612" i="15"/>
  <c r="G613" i="15"/>
  <c r="H613" i="15"/>
  <c r="G614" i="15"/>
  <c r="H614" i="15"/>
  <c r="G615" i="15"/>
  <c r="H615" i="15"/>
  <c r="G616" i="15"/>
  <c r="H616" i="15"/>
  <c r="G617" i="15"/>
  <c r="H617" i="15"/>
  <c r="G618" i="15"/>
  <c r="H618" i="15"/>
  <c r="G619" i="15"/>
  <c r="H619" i="15"/>
  <c r="G620" i="15"/>
  <c r="H620" i="15"/>
  <c r="G621" i="15"/>
  <c r="H621" i="15"/>
  <c r="G622" i="15"/>
  <c r="H622" i="15"/>
  <c r="G623" i="15"/>
  <c r="H623" i="15"/>
  <c r="G624" i="15"/>
  <c r="H624" i="15"/>
  <c r="G625" i="15"/>
  <c r="H625" i="15"/>
  <c r="G626" i="15"/>
  <c r="H626" i="15"/>
  <c r="G627" i="15"/>
  <c r="H627" i="15"/>
  <c r="G628" i="15"/>
  <c r="H628" i="15"/>
  <c r="G629" i="15"/>
  <c r="H629" i="15"/>
  <c r="G630" i="15"/>
  <c r="H630" i="15"/>
  <c r="G631" i="15"/>
  <c r="H631" i="15"/>
  <c r="G632" i="15"/>
  <c r="H632" i="15"/>
  <c r="G633" i="15"/>
  <c r="H633" i="15"/>
  <c r="G634" i="15"/>
  <c r="H634" i="15"/>
  <c r="G635" i="15"/>
  <c r="H635" i="15"/>
  <c r="G636" i="15"/>
  <c r="H636" i="15"/>
  <c r="G637" i="15"/>
  <c r="H637" i="15"/>
  <c r="G638" i="15"/>
  <c r="H638" i="15"/>
  <c r="G639" i="15"/>
  <c r="H639" i="15"/>
  <c r="G640" i="15"/>
  <c r="H640" i="15"/>
  <c r="G641" i="15"/>
  <c r="H641" i="15"/>
  <c r="G642" i="15"/>
  <c r="H642" i="15"/>
  <c r="G643" i="15"/>
  <c r="H643" i="15"/>
  <c r="G644" i="15"/>
  <c r="H644" i="15"/>
  <c r="G645" i="15"/>
  <c r="H645" i="15"/>
  <c r="G646" i="15"/>
  <c r="H646" i="15"/>
  <c r="G647" i="15"/>
  <c r="H647" i="15"/>
  <c r="G648" i="15"/>
  <c r="H648" i="15"/>
  <c r="G649" i="15"/>
  <c r="H649" i="15"/>
  <c r="G650" i="15"/>
  <c r="H650" i="15"/>
  <c r="G651" i="15"/>
  <c r="H651" i="15"/>
  <c r="G652" i="15"/>
  <c r="H652" i="15"/>
  <c r="G653" i="15"/>
  <c r="H653" i="15"/>
  <c r="G654" i="15"/>
  <c r="H654" i="15"/>
  <c r="G655" i="15"/>
  <c r="H655" i="15"/>
  <c r="G656" i="15"/>
  <c r="H656" i="15"/>
  <c r="G657" i="15"/>
  <c r="H657" i="15"/>
  <c r="G658" i="15"/>
  <c r="H658" i="15"/>
  <c r="G659" i="15"/>
  <c r="H659" i="15"/>
  <c r="G660" i="15"/>
  <c r="H660" i="15"/>
  <c r="G661" i="15"/>
  <c r="H661" i="15"/>
  <c r="G662" i="15"/>
  <c r="H662" i="15"/>
  <c r="G663" i="15"/>
  <c r="H663" i="15"/>
  <c r="G664" i="15"/>
  <c r="H664" i="15"/>
  <c r="G665" i="15"/>
  <c r="H665" i="15"/>
  <c r="G666" i="15"/>
  <c r="H666" i="15"/>
  <c r="G667" i="15"/>
  <c r="H667" i="15"/>
  <c r="G668" i="15"/>
  <c r="H668" i="15"/>
  <c r="G669" i="15"/>
  <c r="H669" i="15"/>
  <c r="G670" i="15"/>
  <c r="H670" i="15"/>
  <c r="G671" i="15"/>
  <c r="H671" i="15"/>
  <c r="G672" i="15"/>
  <c r="H672" i="15"/>
  <c r="G673" i="15"/>
  <c r="H673" i="15"/>
  <c r="G674" i="15"/>
  <c r="H674" i="15"/>
  <c r="G675" i="15"/>
  <c r="H675" i="15"/>
  <c r="G676" i="15"/>
  <c r="H676" i="15"/>
  <c r="G677" i="15"/>
  <c r="H677" i="15"/>
  <c r="G678" i="15"/>
  <c r="H678" i="15"/>
  <c r="G679" i="15"/>
  <c r="H679" i="15"/>
  <c r="G680" i="15"/>
  <c r="H680" i="15"/>
  <c r="G681" i="15"/>
  <c r="H681" i="15"/>
  <c r="G682" i="15"/>
  <c r="H682" i="15"/>
  <c r="G683" i="15"/>
  <c r="H683" i="15"/>
  <c r="G684" i="15"/>
  <c r="H684" i="15"/>
  <c r="G685" i="15"/>
  <c r="H685" i="15"/>
  <c r="G686" i="15"/>
  <c r="H686" i="15"/>
  <c r="G687" i="15"/>
  <c r="H687" i="15"/>
  <c r="G688" i="15"/>
  <c r="H688" i="15"/>
  <c r="G689" i="15"/>
  <c r="H689" i="15"/>
  <c r="G690" i="15"/>
  <c r="H690" i="15"/>
  <c r="G691" i="15"/>
  <c r="H691" i="15"/>
  <c r="G692" i="15"/>
  <c r="H692" i="15"/>
  <c r="G693" i="15"/>
  <c r="H693" i="15"/>
  <c r="G694" i="15"/>
  <c r="H694" i="15"/>
  <c r="G695" i="15"/>
  <c r="H695" i="15"/>
  <c r="G696" i="15"/>
  <c r="H696" i="15"/>
  <c r="G697" i="15"/>
  <c r="H697" i="15"/>
  <c r="G698" i="15"/>
  <c r="H698" i="15"/>
  <c r="G699" i="15"/>
  <c r="H699" i="15"/>
  <c r="G700" i="15"/>
  <c r="H700" i="15"/>
  <c r="G701" i="15"/>
  <c r="H701" i="15"/>
  <c r="G702" i="15"/>
  <c r="H702" i="15"/>
  <c r="G703" i="15"/>
  <c r="H703" i="15"/>
  <c r="G704" i="15"/>
  <c r="H704" i="15"/>
  <c r="G705" i="15"/>
  <c r="H705" i="15"/>
  <c r="G706" i="15"/>
  <c r="H706" i="15"/>
  <c r="G707" i="15"/>
  <c r="H707" i="15"/>
  <c r="G708" i="15"/>
  <c r="H708" i="15"/>
  <c r="G709" i="15"/>
  <c r="H709" i="15"/>
  <c r="G710" i="15"/>
  <c r="H710" i="15"/>
  <c r="G711" i="15"/>
  <c r="H711" i="15"/>
  <c r="G712" i="15"/>
  <c r="H712" i="15"/>
  <c r="G713" i="15"/>
  <c r="H713" i="15"/>
  <c r="G714" i="15"/>
  <c r="H714" i="15"/>
  <c r="G715" i="15"/>
  <c r="H715" i="15"/>
  <c r="G716" i="15"/>
  <c r="H716" i="15"/>
  <c r="G717" i="15"/>
  <c r="H717" i="15"/>
  <c r="G718" i="15"/>
  <c r="H718" i="15"/>
  <c r="G719" i="15"/>
  <c r="H719" i="15"/>
  <c r="G720" i="15"/>
  <c r="H720" i="15"/>
  <c r="G721" i="15"/>
  <c r="H721" i="15"/>
  <c r="G722" i="15"/>
  <c r="H722" i="15"/>
  <c r="G723" i="15"/>
  <c r="H723" i="15"/>
  <c r="G724" i="15"/>
  <c r="H724" i="15"/>
  <c r="G725" i="15"/>
  <c r="H725" i="15"/>
  <c r="G726" i="15"/>
  <c r="H726" i="15"/>
  <c r="G727" i="15"/>
  <c r="H727" i="15"/>
  <c r="G728" i="15"/>
  <c r="H728" i="15"/>
  <c r="G729" i="15"/>
  <c r="H729" i="15"/>
  <c r="G730" i="15"/>
  <c r="H730" i="15"/>
  <c r="G731" i="15"/>
  <c r="H731" i="15"/>
  <c r="G732" i="15"/>
  <c r="H732" i="15"/>
  <c r="G733" i="15"/>
  <c r="H733" i="15"/>
  <c r="G734" i="15"/>
  <c r="H734" i="15"/>
  <c r="G735" i="15"/>
  <c r="H735" i="15"/>
  <c r="G736" i="15"/>
  <c r="H736" i="15"/>
  <c r="G737" i="15"/>
  <c r="H737" i="15"/>
  <c r="G738" i="15"/>
  <c r="H738" i="15"/>
  <c r="G739" i="15"/>
  <c r="H739" i="15"/>
  <c r="G740" i="15"/>
  <c r="H740" i="15"/>
  <c r="G748" i="15"/>
  <c r="H748" i="15"/>
  <c r="G749" i="15"/>
  <c r="H749" i="15"/>
  <c r="AF1" i="12" l="1"/>
  <c r="AI2" i="12"/>
  <c r="AJ2" i="12"/>
  <c r="AM2" i="12"/>
  <c r="AK2" i="12" s="1" a="1"/>
  <c r="AK2" i="12" s="1"/>
  <c r="O3" i="12"/>
  <c r="Q3" i="12"/>
  <c r="AI3" i="12"/>
  <c r="AJ3" i="12"/>
  <c r="AM3" i="12"/>
  <c r="AK3" i="12" s="1" a="1"/>
  <c r="AK3" i="12" s="1"/>
  <c r="O4" i="12"/>
  <c r="Q4" i="12" s="1"/>
  <c r="AI4" i="12"/>
  <c r="AJ4" i="12"/>
  <c r="AM4" i="12"/>
  <c r="AK4" i="12" s="1" a="1"/>
  <c r="AK4" i="12" s="1"/>
  <c r="O5" i="12"/>
  <c r="Q5" i="12" s="1"/>
  <c r="AI5" i="12"/>
  <c r="AJ5" i="12"/>
  <c r="AK5" i="12" a="1"/>
  <c r="AK5" i="12" s="1"/>
  <c r="AM5" i="12"/>
  <c r="O6" i="12"/>
  <c r="Q6" i="12" s="1"/>
  <c r="AI6" i="12"/>
  <c r="AJ6" i="12"/>
  <c r="AK6" i="12"/>
  <c r="AM6" i="12"/>
  <c r="AK6" i="12" s="1" a="1"/>
  <c r="O7" i="12"/>
  <c r="Q7" i="12"/>
  <c r="AI7" i="12"/>
  <c r="AJ7" i="12"/>
  <c r="AM7" i="12"/>
  <c r="AK7" i="12" s="1" a="1"/>
  <c r="AK7" i="12" s="1"/>
  <c r="O8" i="12"/>
  <c r="Q8" i="12" s="1"/>
  <c r="AI8" i="12"/>
  <c r="AJ8" i="12"/>
  <c r="AM8" i="12"/>
  <c r="AK8" i="12" s="1" a="1"/>
  <c r="AK8" i="12" s="1"/>
  <c r="O9" i="12"/>
  <c r="Q9" i="12" s="1"/>
  <c r="AI9" i="12"/>
  <c r="AJ9" i="12"/>
  <c r="AK9" i="12" a="1"/>
  <c r="AK9" i="12" s="1"/>
  <c r="AM9" i="12"/>
  <c r="O10" i="12"/>
  <c r="Q10" i="12"/>
  <c r="AI10" i="12"/>
  <c r="AK10" i="12" s="1" a="1"/>
  <c r="AK10" i="12" s="1"/>
  <c r="AJ10" i="12"/>
  <c r="AM10" i="12"/>
  <c r="O11" i="12"/>
  <c r="Q11" i="12"/>
  <c r="AI11" i="12"/>
  <c r="AJ11" i="12"/>
  <c r="AM11" i="12"/>
  <c r="AK11" i="12" s="1" a="1"/>
  <c r="AK11" i="12" s="1"/>
  <c r="O12" i="12"/>
  <c r="Q12" i="12" s="1"/>
  <c r="AI12" i="12"/>
  <c r="AJ12" i="12"/>
  <c r="AK12" i="12" a="1"/>
  <c r="AK12" i="12" s="1"/>
  <c r="AM12" i="12"/>
  <c r="O13" i="12"/>
  <c r="Q13" i="12" s="1"/>
  <c r="AI13" i="12"/>
  <c r="AJ13" i="12"/>
  <c r="AK13" i="12" a="1"/>
  <c r="AK13" i="12" s="1"/>
  <c r="AM13" i="12"/>
  <c r="O14" i="12"/>
  <c r="Q14" i="12"/>
  <c r="AI14" i="12"/>
  <c r="AJ14" i="12"/>
  <c r="AK14" i="12"/>
  <c r="AM14" i="12"/>
  <c r="AK14" i="12" s="1" a="1"/>
  <c r="O15" i="12"/>
  <c r="Q15" i="12"/>
  <c r="AI15" i="12"/>
  <c r="AJ15" i="12"/>
  <c r="AM15" i="12"/>
  <c r="AK15" i="12" s="1" a="1"/>
  <c r="AK15" i="12" s="1"/>
  <c r="O16" i="12"/>
  <c r="Q16" i="12" s="1"/>
  <c r="AI16" i="12"/>
  <c r="AJ16" i="12"/>
  <c r="AM16" i="12"/>
  <c r="AK16" i="12" s="1" a="1"/>
  <c r="AK16" i="12" s="1"/>
  <c r="O17" i="12"/>
  <c r="Q17" i="12"/>
  <c r="AI17" i="12"/>
  <c r="AJ17" i="12"/>
  <c r="AK17" i="12" a="1"/>
  <c r="AK17" i="12" s="1"/>
  <c r="AM17" i="12"/>
  <c r="O18" i="12"/>
  <c r="Q18" i="12"/>
  <c r="AI18" i="12"/>
  <c r="AK18" i="12" s="1" a="1"/>
  <c r="AK18" i="12" s="1"/>
  <c r="AJ18" i="12"/>
  <c r="AM18" i="12"/>
  <c r="O19" i="12"/>
  <c r="Q19" i="12"/>
  <c r="AI19" i="12"/>
  <c r="AJ19" i="12"/>
  <c r="AM19" i="12"/>
  <c r="O20" i="12"/>
  <c r="Q20" i="12" s="1"/>
  <c r="AI20" i="12"/>
  <c r="AJ20" i="12"/>
  <c r="AK20" i="12" a="1"/>
  <c r="AK20" i="12" s="1"/>
  <c r="AM20" i="12"/>
  <c r="O21" i="12"/>
  <c r="Q21" i="12" s="1"/>
  <c r="AI21" i="12"/>
  <c r="AJ21" i="12"/>
  <c r="AK21" i="12" a="1"/>
  <c r="AK21" i="12" s="1"/>
  <c r="AM21" i="12"/>
  <c r="O22" i="12"/>
  <c r="Q22" i="12"/>
  <c r="AI22" i="12"/>
  <c r="AJ22" i="12"/>
  <c r="AM22" i="12"/>
  <c r="AK22" i="12" s="1" a="1"/>
  <c r="AK22" i="12" s="1"/>
  <c r="O23" i="12"/>
  <c r="Q23" i="12"/>
  <c r="AI23" i="12"/>
  <c r="AJ23" i="12"/>
  <c r="AM23" i="12"/>
  <c r="AK23" i="12" s="1" a="1"/>
  <c r="AK23" i="12" s="1"/>
  <c r="O24" i="12"/>
  <c r="Q24" i="12" s="1"/>
  <c r="AI24" i="12"/>
  <c r="AJ24" i="12"/>
  <c r="AM24" i="12"/>
  <c r="AK24" i="12" s="1" a="1"/>
  <c r="AK24" i="12" s="1"/>
  <c r="C25" i="12"/>
  <c r="D25" i="12"/>
  <c r="E25" i="12"/>
  <c r="F25" i="12"/>
  <c r="G25" i="12"/>
  <c r="H25" i="12"/>
  <c r="I25" i="12"/>
  <c r="J25" i="12"/>
  <c r="K25" i="12"/>
  <c r="L25" i="12"/>
  <c r="M25" i="12"/>
  <c r="N25" i="12"/>
  <c r="P25" i="12"/>
  <c r="AI25" i="12"/>
  <c r="AJ25" i="12"/>
  <c r="AK25" i="12" a="1"/>
  <c r="AK25" i="12" s="1"/>
  <c r="AM25" i="12"/>
  <c r="C26" i="12"/>
  <c r="D26" i="12"/>
  <c r="E26" i="12"/>
  <c r="F26" i="12"/>
  <c r="G26" i="12"/>
  <c r="H26" i="12"/>
  <c r="O26" i="12" s="1"/>
  <c r="Q26" i="12" s="1"/>
  <c r="I26" i="12"/>
  <c r="J26" i="12"/>
  <c r="K26" i="12"/>
  <c r="L26" i="12"/>
  <c r="M26" i="12"/>
  <c r="N26" i="12"/>
  <c r="P26" i="12"/>
  <c r="AI26" i="12"/>
  <c r="AJ26" i="12"/>
  <c r="AM26" i="12"/>
  <c r="AK26" i="12" s="1" a="1"/>
  <c r="AK26" i="12" s="1"/>
  <c r="AI27" i="12"/>
  <c r="AJ27" i="12"/>
  <c r="AM27" i="12"/>
  <c r="AI28" i="12"/>
  <c r="AJ28" i="12"/>
  <c r="AM28" i="12"/>
  <c r="AK28" i="12" s="1" a="1"/>
  <c r="AK28" i="12" s="1"/>
  <c r="AI29" i="12"/>
  <c r="AJ29" i="12"/>
  <c r="AK29" i="12" a="1"/>
  <c r="AK29" i="12" s="1"/>
  <c r="AM29" i="12"/>
  <c r="AI30" i="12"/>
  <c r="AJ30" i="12"/>
  <c r="AK30" i="12" a="1"/>
  <c r="AK30" i="12" s="1"/>
  <c r="AM30" i="12"/>
  <c r="O31" i="12"/>
  <c r="Q31" i="12" s="1"/>
  <c r="AI31" i="12"/>
  <c r="AJ31" i="12"/>
  <c r="AK31" i="12" a="1"/>
  <c r="AK31" i="12" s="1"/>
  <c r="AM31" i="12"/>
  <c r="O32" i="12"/>
  <c r="Q32" i="12"/>
  <c r="AI32" i="12"/>
  <c r="AJ32" i="12"/>
  <c r="AK32" i="12"/>
  <c r="AM32" i="12"/>
  <c r="AK32" i="12" s="1" a="1"/>
  <c r="O33" i="12"/>
  <c r="Q33" i="12"/>
  <c r="AI33" i="12"/>
  <c r="AJ33" i="12"/>
  <c r="AM33" i="12"/>
  <c r="AK33" i="12" s="1" a="1"/>
  <c r="AK33" i="12" s="1"/>
  <c r="O34" i="12"/>
  <c r="AI34" i="12"/>
  <c r="AJ34" i="12"/>
  <c r="AM34" i="12"/>
  <c r="AK34" i="12" s="1" a="1"/>
  <c r="AK34" i="12" s="1"/>
  <c r="O35" i="12"/>
  <c r="Q35" i="12"/>
  <c r="AI35" i="12"/>
  <c r="AJ35" i="12"/>
  <c r="AK35" i="12" a="1"/>
  <c r="AK35" i="12" s="1"/>
  <c r="AM35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P36" i="12"/>
  <c r="AI36" i="12"/>
  <c r="AJ36" i="12"/>
  <c r="AK36" i="12" a="1"/>
  <c r="AK36" i="12" s="1"/>
  <c r="AM36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P37" i="12"/>
  <c r="AI37" i="12"/>
  <c r="AJ37" i="12"/>
  <c r="AK37" i="12" a="1"/>
  <c r="AK37" i="12" s="1"/>
  <c r="AM37" i="12"/>
  <c r="AI38" i="12"/>
  <c r="AJ38" i="12"/>
  <c r="AK38" i="12" a="1"/>
  <c r="AK38" i="12" s="1"/>
  <c r="AM38" i="12"/>
  <c r="AI39" i="12"/>
  <c r="AJ39" i="12"/>
  <c r="AM39" i="12"/>
  <c r="AI40" i="12"/>
  <c r="AK40" i="12" s="1" a="1"/>
  <c r="AJ40" i="12"/>
  <c r="AK40" i="12"/>
  <c r="AM40" i="12"/>
  <c r="AI41" i="12"/>
  <c r="AJ41" i="12"/>
  <c r="AK41" i="12" a="1"/>
  <c r="AK41" i="12"/>
  <c r="AM41" i="12"/>
  <c r="O42" i="12"/>
  <c r="Q42" i="12"/>
  <c r="AI42" i="12"/>
  <c r="AJ42" i="12"/>
  <c r="AK42" i="12"/>
  <c r="AM42" i="12"/>
  <c r="AK42" i="12" s="1" a="1"/>
  <c r="O43" i="12"/>
  <c r="Q43" i="12"/>
  <c r="AI43" i="12"/>
  <c r="AJ43" i="12"/>
  <c r="AM43" i="12"/>
  <c r="AK43" i="12" s="1" a="1"/>
  <c r="AK43" i="12" s="1"/>
  <c r="O44" i="12"/>
  <c r="Q44" i="12" s="1"/>
  <c r="AI44" i="12"/>
  <c r="AJ44" i="12"/>
  <c r="AM44" i="12"/>
  <c r="AK44" i="12" s="1" a="1"/>
  <c r="AK44" i="12" s="1"/>
  <c r="O45" i="12"/>
  <c r="Q45" i="12"/>
  <c r="AI45" i="12"/>
  <c r="AJ45" i="12"/>
  <c r="AK45" i="12" a="1"/>
  <c r="AK45" i="12" s="1"/>
  <c r="AM45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P46" i="12"/>
  <c r="AI46" i="12"/>
  <c r="AJ46" i="12"/>
  <c r="AK46" i="12" a="1"/>
  <c r="AK46" i="12" s="1"/>
  <c r="AM46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P47" i="12"/>
  <c r="AI47" i="12"/>
  <c r="AJ47" i="12"/>
  <c r="AK47" i="12" a="1"/>
  <c r="AK47" i="12" s="1"/>
  <c r="AM47" i="12"/>
  <c r="AI48" i="12"/>
  <c r="AJ48" i="12"/>
  <c r="AK48" i="12" a="1"/>
  <c r="AK48" i="12" s="1"/>
  <c r="AM48" i="12"/>
  <c r="AI49" i="12"/>
  <c r="AJ49" i="12"/>
  <c r="AM49" i="12"/>
  <c r="AK49" i="12" s="1" a="1"/>
  <c r="AK49" i="12" s="1"/>
  <c r="AI50" i="12"/>
  <c r="AK50" i="12" s="1" a="1"/>
  <c r="AJ50" i="12"/>
  <c r="AK50" i="12"/>
  <c r="AM50" i="12"/>
  <c r="AI51" i="12"/>
  <c r="AJ51" i="12"/>
  <c r="AK51" i="12" a="1"/>
  <c r="AK51" i="12"/>
  <c r="AM51" i="12"/>
  <c r="AI52" i="12"/>
  <c r="AJ52" i="12"/>
  <c r="AM52" i="12"/>
  <c r="AK52" i="12" s="1" a="1"/>
  <c r="AK52" i="12" s="1"/>
  <c r="AI53" i="12"/>
  <c r="AJ53" i="12"/>
  <c r="AM53" i="12"/>
  <c r="AI54" i="12"/>
  <c r="AJ54" i="12"/>
  <c r="AM54" i="12"/>
  <c r="AK54" i="12" s="1" a="1"/>
  <c r="AK54" i="12" s="1"/>
  <c r="AI55" i="12"/>
  <c r="AJ55" i="12"/>
  <c r="AK55" i="12" a="1"/>
  <c r="AK55" i="12"/>
  <c r="AM55" i="12"/>
  <c r="AI56" i="12"/>
  <c r="AJ56" i="12"/>
  <c r="AK56" i="12" a="1"/>
  <c r="AK56" i="12" s="1"/>
  <c r="AM56" i="12"/>
  <c r="AI57" i="12"/>
  <c r="AJ57" i="12"/>
  <c r="AM57" i="12"/>
  <c r="AI58" i="12"/>
  <c r="AJ58" i="12"/>
  <c r="AM58" i="12"/>
  <c r="AK58" i="12" s="1" a="1"/>
  <c r="AK58" i="12" s="1"/>
  <c r="AI59" i="12"/>
  <c r="AJ59" i="12"/>
  <c r="AK59" i="12" a="1"/>
  <c r="AK59" i="12"/>
  <c r="AM59" i="12"/>
  <c r="AI60" i="12"/>
  <c r="AJ60" i="12"/>
  <c r="AK60" i="12" a="1"/>
  <c r="AK60" i="12" s="1"/>
  <c r="AM60" i="12"/>
  <c r="AI61" i="12"/>
  <c r="AJ61" i="12"/>
  <c r="AM61" i="12"/>
  <c r="AI62" i="12"/>
  <c r="AJ62" i="12"/>
  <c r="AM62" i="12"/>
  <c r="AK62" i="12" s="1" a="1"/>
  <c r="AK62" i="12" s="1"/>
  <c r="AI63" i="12"/>
  <c r="AJ63" i="12"/>
  <c r="AK63" i="12" a="1"/>
  <c r="AK63" i="12" s="1"/>
  <c r="AM63" i="12"/>
  <c r="AI64" i="12"/>
  <c r="AJ64" i="12"/>
  <c r="AK64" i="12" a="1"/>
  <c r="AK64" i="12" s="1"/>
  <c r="AM64" i="12"/>
  <c r="AI65" i="12"/>
  <c r="AJ65" i="12"/>
  <c r="AM65" i="12"/>
  <c r="AI66" i="12"/>
  <c r="AJ66" i="12"/>
  <c r="AM66" i="12"/>
  <c r="AK66" i="12" s="1" a="1"/>
  <c r="AK66" i="12" s="1"/>
  <c r="AI67" i="12"/>
  <c r="AJ67" i="12"/>
  <c r="AK67" i="12" a="1"/>
  <c r="AK67" i="12" s="1"/>
  <c r="AM67" i="12"/>
  <c r="AI68" i="12"/>
  <c r="AJ68" i="12"/>
  <c r="AK68" i="12" a="1"/>
  <c r="AK68" i="12" s="1"/>
  <c r="AM68" i="12"/>
  <c r="AI69" i="12"/>
  <c r="AJ69" i="12"/>
  <c r="AM69" i="12"/>
  <c r="AI70" i="12"/>
  <c r="AJ70" i="12"/>
  <c r="AM70" i="12"/>
  <c r="AK70" i="12" s="1" a="1"/>
  <c r="AK70" i="12" s="1"/>
  <c r="AI71" i="12"/>
  <c r="AJ71" i="12"/>
  <c r="AK71" i="12" a="1"/>
  <c r="AK71" i="12" s="1"/>
  <c r="AM71" i="12"/>
  <c r="AI72" i="12"/>
  <c r="AJ72" i="12"/>
  <c r="AK72" i="12" a="1"/>
  <c r="AK72" i="12" s="1"/>
  <c r="AM72" i="12"/>
  <c r="AI73" i="12"/>
  <c r="AJ73" i="12"/>
  <c r="AM73" i="12"/>
  <c r="AI74" i="12"/>
  <c r="AJ74" i="12"/>
  <c r="AM74" i="12"/>
  <c r="AK74" i="12" s="1" a="1"/>
  <c r="AK74" i="12" s="1"/>
  <c r="AI75" i="12"/>
  <c r="AJ75" i="12"/>
  <c r="AK75" i="12" a="1"/>
  <c r="AK75" i="12" s="1"/>
  <c r="AM75" i="12"/>
  <c r="AI76" i="12"/>
  <c r="AJ76" i="12"/>
  <c r="AK76" i="12" a="1"/>
  <c r="AK76" i="12" s="1"/>
  <c r="AM76" i="12"/>
  <c r="AI77" i="12"/>
  <c r="AJ77" i="12"/>
  <c r="AM77" i="12"/>
  <c r="AI78" i="12"/>
  <c r="AJ78" i="12"/>
  <c r="AM78" i="12"/>
  <c r="AK78" i="12" s="1" a="1"/>
  <c r="AK78" i="12" s="1"/>
  <c r="AI79" i="12"/>
  <c r="AJ79" i="12"/>
  <c r="AK79" i="12" a="1"/>
  <c r="AK79" i="12" s="1"/>
  <c r="AM79" i="12"/>
  <c r="AI80" i="12"/>
  <c r="AJ80" i="12"/>
  <c r="AK80" i="12" a="1"/>
  <c r="AK80" i="12" s="1"/>
  <c r="AM80" i="12"/>
  <c r="AI81" i="12"/>
  <c r="AJ81" i="12"/>
  <c r="AM81" i="12"/>
  <c r="AI82" i="12"/>
  <c r="AJ82" i="12"/>
  <c r="AM82" i="12"/>
  <c r="AK82" i="12" s="1" a="1"/>
  <c r="AK82" i="12" s="1"/>
  <c r="AI83" i="12"/>
  <c r="AJ83" i="12"/>
  <c r="AK83" i="12" a="1"/>
  <c r="AK83" i="12" s="1"/>
  <c r="AM83" i="12"/>
  <c r="AI84" i="12"/>
  <c r="AJ84" i="12"/>
  <c r="AK84" i="12" a="1"/>
  <c r="AK84" i="12" s="1"/>
  <c r="AM84" i="12"/>
  <c r="AI85" i="12"/>
  <c r="AJ85" i="12"/>
  <c r="AM85" i="12"/>
  <c r="AI86" i="12"/>
  <c r="AJ86" i="12"/>
  <c r="AM86" i="12"/>
  <c r="AK86" i="12" s="1" a="1"/>
  <c r="AK86" i="12" s="1"/>
  <c r="AI87" i="12"/>
  <c r="AJ87" i="12"/>
  <c r="AK87" i="12" a="1"/>
  <c r="AK87" i="12" s="1"/>
  <c r="AM87" i="12"/>
  <c r="AI88" i="12"/>
  <c r="AJ88" i="12"/>
  <c r="AK88" i="12" a="1"/>
  <c r="AK88" i="12" s="1"/>
  <c r="AM88" i="12"/>
  <c r="AI89" i="12"/>
  <c r="AJ89" i="12"/>
  <c r="AM89" i="12"/>
  <c r="AI90" i="12"/>
  <c r="AJ90" i="12"/>
  <c r="AM90" i="12"/>
  <c r="AK90" i="12" s="1" a="1"/>
  <c r="AK90" i="12" s="1"/>
  <c r="AI91" i="12"/>
  <c r="AJ91" i="12"/>
  <c r="AK91" i="12" a="1"/>
  <c r="AK91" i="12" s="1"/>
  <c r="AM91" i="12"/>
  <c r="AI92" i="12"/>
  <c r="AJ92" i="12"/>
  <c r="AK92" i="12" a="1"/>
  <c r="AK92" i="12" s="1"/>
  <c r="AM92" i="12"/>
  <c r="AI93" i="12"/>
  <c r="AJ93" i="12"/>
  <c r="AM93" i="12"/>
  <c r="AI94" i="12"/>
  <c r="AJ94" i="12"/>
  <c r="AM94" i="12"/>
  <c r="AK94" i="12" s="1" a="1"/>
  <c r="AK94" i="12" s="1"/>
  <c r="AI95" i="12"/>
  <c r="AJ95" i="12"/>
  <c r="AK95" i="12" a="1"/>
  <c r="AK95" i="12" s="1"/>
  <c r="AM95" i="12"/>
  <c r="AI96" i="12"/>
  <c r="AJ96" i="12"/>
  <c r="AK96" i="12" a="1"/>
  <c r="AK96" i="12" s="1"/>
  <c r="AM96" i="12"/>
  <c r="AI97" i="12"/>
  <c r="AJ97" i="12"/>
  <c r="AM97" i="12"/>
  <c r="AI98" i="12"/>
  <c r="AJ98" i="12"/>
  <c r="AM98" i="12"/>
  <c r="AK98" i="12" s="1" a="1"/>
  <c r="AK98" i="12" s="1"/>
  <c r="AI99" i="12"/>
  <c r="AJ99" i="12"/>
  <c r="AK99" i="12" a="1"/>
  <c r="AK99" i="12" s="1"/>
  <c r="AM99" i="12"/>
  <c r="AI100" i="12"/>
  <c r="AJ100" i="12"/>
  <c r="AK100" i="12" a="1"/>
  <c r="AK100" i="12" s="1"/>
  <c r="AM100" i="12"/>
  <c r="AI101" i="12"/>
  <c r="AJ101" i="12"/>
  <c r="AM101" i="12"/>
  <c r="AI102" i="12"/>
  <c r="AJ102" i="12"/>
  <c r="AM102" i="12"/>
  <c r="AK102" i="12" s="1" a="1"/>
  <c r="AK102" i="12" s="1"/>
  <c r="AI103" i="12"/>
  <c r="AJ103" i="12"/>
  <c r="AK103" i="12" a="1"/>
  <c r="AK103" i="12" s="1"/>
  <c r="AM103" i="12"/>
  <c r="AI104" i="12"/>
  <c r="AJ104" i="12"/>
  <c r="AK104" i="12" a="1"/>
  <c r="AK104" i="12" s="1"/>
  <c r="AM104" i="12"/>
  <c r="AI105" i="12"/>
  <c r="AJ105" i="12"/>
  <c r="AM105" i="12"/>
  <c r="AI106" i="12"/>
  <c r="AJ106" i="12"/>
  <c r="AM106" i="12"/>
  <c r="AK106" i="12" s="1" a="1"/>
  <c r="AK106" i="12" s="1"/>
  <c r="AI107" i="12"/>
  <c r="AJ107" i="12"/>
  <c r="AK107" i="12" a="1"/>
  <c r="AK107" i="12" s="1"/>
  <c r="AM107" i="12"/>
  <c r="AI108" i="12"/>
  <c r="AJ108" i="12"/>
  <c r="AK108" i="12" a="1"/>
  <c r="AK108" i="12" s="1"/>
  <c r="AM108" i="12"/>
  <c r="AI109" i="12"/>
  <c r="AJ109" i="12"/>
  <c r="AM109" i="12"/>
  <c r="AI110" i="12"/>
  <c r="AJ110" i="12"/>
  <c r="AM110" i="12"/>
  <c r="AK110" i="12" s="1" a="1"/>
  <c r="AK110" i="12" s="1"/>
  <c r="AI111" i="12"/>
  <c r="AJ111" i="12"/>
  <c r="AK111" i="12" a="1"/>
  <c r="AK111" i="12" s="1"/>
  <c r="AM111" i="12"/>
  <c r="AI112" i="12"/>
  <c r="AJ112" i="12"/>
  <c r="AK112" i="12" a="1"/>
  <c r="AK112" i="12" s="1"/>
  <c r="AM112" i="12"/>
  <c r="AI113" i="12"/>
  <c r="AJ113" i="12"/>
  <c r="AM113" i="12"/>
  <c r="AI114" i="12"/>
  <c r="AJ114" i="12"/>
  <c r="AM114" i="12"/>
  <c r="AK114" i="12" s="1" a="1"/>
  <c r="AK114" i="12" s="1"/>
  <c r="AI115" i="12"/>
  <c r="AJ115" i="12"/>
  <c r="AK115" i="12" a="1"/>
  <c r="AK115" i="12" s="1"/>
  <c r="AM115" i="12"/>
  <c r="AI116" i="12"/>
  <c r="AJ116" i="12"/>
  <c r="AK116" i="12" a="1"/>
  <c r="AK116" i="12" s="1"/>
  <c r="AM116" i="12"/>
  <c r="AI117" i="12"/>
  <c r="AJ117" i="12"/>
  <c r="AM117" i="12"/>
  <c r="AI118" i="12"/>
  <c r="AJ118" i="12"/>
  <c r="AM118" i="12"/>
  <c r="AK118" i="12" s="1" a="1"/>
  <c r="AK118" i="12" s="1"/>
  <c r="AI119" i="12"/>
  <c r="AJ119" i="12"/>
  <c r="AK119" i="12" a="1"/>
  <c r="AK119" i="12" s="1"/>
  <c r="AM119" i="12"/>
  <c r="AI120" i="12"/>
  <c r="AJ120" i="12"/>
  <c r="AK120" i="12" a="1"/>
  <c r="AK120" i="12" s="1"/>
  <c r="AM120" i="12"/>
  <c r="AI121" i="12"/>
  <c r="AJ121" i="12"/>
  <c r="AM121" i="12"/>
  <c r="AI122" i="12"/>
  <c r="AJ122" i="12"/>
  <c r="AM122" i="12"/>
  <c r="AK122" i="12" s="1" a="1"/>
  <c r="AK122" i="12" s="1"/>
  <c r="AI123" i="12"/>
  <c r="AJ123" i="12"/>
  <c r="AK123" i="12" a="1"/>
  <c r="AK123" i="12" s="1"/>
  <c r="AM123" i="12"/>
  <c r="AI124" i="12"/>
  <c r="AJ124" i="12"/>
  <c r="AK124" i="12" a="1"/>
  <c r="AK124" i="12" s="1"/>
  <c r="AM124" i="12"/>
  <c r="AI125" i="12"/>
  <c r="AJ125" i="12"/>
  <c r="AM125" i="12"/>
  <c r="AI126" i="12"/>
  <c r="AJ126" i="12"/>
  <c r="AM126" i="12"/>
  <c r="AK126" i="12" s="1" a="1"/>
  <c r="AK126" i="12" s="1"/>
  <c r="AI127" i="12"/>
  <c r="AJ127" i="12"/>
  <c r="AK127" i="12" a="1"/>
  <c r="AK127" i="12" s="1"/>
  <c r="AM127" i="12"/>
  <c r="AI128" i="12"/>
  <c r="AJ128" i="12"/>
  <c r="AK128" i="12" a="1"/>
  <c r="AK128" i="12" s="1"/>
  <c r="AM128" i="12"/>
  <c r="AI129" i="12"/>
  <c r="AJ129" i="12"/>
  <c r="AM129" i="12"/>
  <c r="AI130" i="12"/>
  <c r="AJ130" i="12"/>
  <c r="AM130" i="12"/>
  <c r="AK130" i="12" s="1" a="1"/>
  <c r="AK130" i="12" s="1"/>
  <c r="AI131" i="12"/>
  <c r="AJ131" i="12"/>
  <c r="AK131" i="12" a="1"/>
  <c r="AK131" i="12" s="1"/>
  <c r="AM131" i="12"/>
  <c r="AI132" i="12"/>
  <c r="AJ132" i="12"/>
  <c r="AK132" i="12" a="1"/>
  <c r="AK132" i="12" s="1"/>
  <c r="AM132" i="12"/>
  <c r="AI133" i="12"/>
  <c r="AJ133" i="12"/>
  <c r="AM133" i="12"/>
  <c r="AI134" i="12"/>
  <c r="AJ134" i="12"/>
  <c r="AM134" i="12"/>
  <c r="AK134" i="12" s="1" a="1"/>
  <c r="AK134" i="12" s="1"/>
  <c r="AI135" i="12"/>
  <c r="AJ135" i="12"/>
  <c r="AK135" i="12" a="1"/>
  <c r="AK135" i="12" s="1"/>
  <c r="AM135" i="12"/>
  <c r="AI136" i="12"/>
  <c r="AJ136" i="12"/>
  <c r="AK136" i="12" a="1"/>
  <c r="AK136" i="12" s="1"/>
  <c r="AM136" i="12"/>
  <c r="AI137" i="12"/>
  <c r="AJ137" i="12"/>
  <c r="AM137" i="12"/>
  <c r="AI138" i="12"/>
  <c r="AJ138" i="12"/>
  <c r="AM138" i="12"/>
  <c r="AK138" i="12" s="1" a="1"/>
  <c r="AK138" i="12" s="1"/>
  <c r="AI139" i="12"/>
  <c r="AJ139" i="12"/>
  <c r="AK139" i="12" a="1"/>
  <c r="AK139" i="12" s="1"/>
  <c r="AM139" i="12"/>
  <c r="AI140" i="12"/>
  <c r="AJ140" i="12"/>
  <c r="AK140" i="12" a="1"/>
  <c r="AK140" i="12" s="1"/>
  <c r="AM140" i="12"/>
  <c r="AI141" i="12"/>
  <c r="AJ141" i="12"/>
  <c r="AM141" i="12"/>
  <c r="AI142" i="12"/>
  <c r="AJ142" i="12"/>
  <c r="AM142" i="12"/>
  <c r="AK142" i="12" s="1" a="1"/>
  <c r="AK142" i="12" s="1"/>
  <c r="AI143" i="12"/>
  <c r="AJ143" i="12"/>
  <c r="AK143" i="12" a="1"/>
  <c r="AK143" i="12" s="1"/>
  <c r="AM143" i="12"/>
  <c r="AI144" i="12"/>
  <c r="AJ144" i="12"/>
  <c r="AK144" i="12" a="1"/>
  <c r="AK144" i="12" s="1"/>
  <c r="AM144" i="12"/>
  <c r="AI145" i="12"/>
  <c r="AJ145" i="12"/>
  <c r="AM145" i="12"/>
  <c r="AI146" i="12"/>
  <c r="AJ146" i="12"/>
  <c r="AM146" i="12"/>
  <c r="AK146" i="12" s="1" a="1"/>
  <c r="AK146" i="12" s="1"/>
  <c r="AI147" i="12"/>
  <c r="AJ147" i="12"/>
  <c r="AK147" i="12" a="1"/>
  <c r="AK147" i="12" s="1"/>
  <c r="AM147" i="12"/>
  <c r="AI148" i="12"/>
  <c r="AJ148" i="12"/>
  <c r="AK148" i="12" a="1"/>
  <c r="AK148" i="12" s="1"/>
  <c r="AM148" i="12"/>
  <c r="AI149" i="12"/>
  <c r="AJ149" i="12"/>
  <c r="AM149" i="12"/>
  <c r="AI150" i="12"/>
  <c r="AJ150" i="12"/>
  <c r="AM150" i="12"/>
  <c r="AK150" i="12" s="1" a="1"/>
  <c r="AK150" i="12" s="1"/>
  <c r="AI151" i="12"/>
  <c r="AJ151" i="12"/>
  <c r="AK151" i="12" a="1"/>
  <c r="AK151" i="12" s="1"/>
  <c r="AM151" i="12"/>
  <c r="AI152" i="12"/>
  <c r="AJ152" i="12"/>
  <c r="AK152" i="12" a="1"/>
  <c r="AK152" i="12" s="1"/>
  <c r="AM152" i="12"/>
  <c r="AI153" i="12"/>
  <c r="AJ153" i="12"/>
  <c r="AM153" i="12"/>
  <c r="AI154" i="12"/>
  <c r="AJ154" i="12"/>
  <c r="AM154" i="12"/>
  <c r="AK154" i="12" s="1" a="1"/>
  <c r="AK154" i="12" s="1"/>
  <c r="AI155" i="12"/>
  <c r="AJ155" i="12"/>
  <c r="AK155" i="12" a="1"/>
  <c r="AK155" i="12" s="1"/>
  <c r="AM155" i="12"/>
  <c r="AI156" i="12"/>
  <c r="AJ156" i="12"/>
  <c r="AK156" i="12" a="1"/>
  <c r="AK156" i="12" s="1"/>
  <c r="AM156" i="12"/>
  <c r="AI157" i="12"/>
  <c r="AJ157" i="12"/>
  <c r="AM157" i="12"/>
  <c r="AI158" i="12"/>
  <c r="AJ158" i="12"/>
  <c r="AM158" i="12"/>
  <c r="AK158" i="12" s="1" a="1"/>
  <c r="AK158" i="12" s="1"/>
  <c r="AI159" i="12"/>
  <c r="AJ159" i="12"/>
  <c r="AK159" i="12" a="1"/>
  <c r="AK159" i="12" s="1"/>
  <c r="AM159" i="12"/>
  <c r="AI160" i="12"/>
  <c r="AJ160" i="12"/>
  <c r="AK160" i="12" a="1"/>
  <c r="AK160" i="12" s="1"/>
  <c r="AM160" i="12"/>
  <c r="AI161" i="12"/>
  <c r="AJ161" i="12"/>
  <c r="AM161" i="12"/>
  <c r="AI162" i="12"/>
  <c r="AJ162" i="12"/>
  <c r="AM162" i="12"/>
  <c r="AK162" i="12" s="1" a="1"/>
  <c r="AK162" i="12" s="1"/>
  <c r="AI163" i="12"/>
  <c r="AJ163" i="12"/>
  <c r="AK163" i="12" a="1"/>
  <c r="AK163" i="12" s="1"/>
  <c r="AM163" i="12"/>
  <c r="AI164" i="12"/>
  <c r="AJ164" i="12"/>
  <c r="AK164" i="12" a="1"/>
  <c r="AK164" i="12" s="1"/>
  <c r="AM164" i="12"/>
  <c r="AI165" i="12"/>
  <c r="AJ165" i="12"/>
  <c r="AM165" i="12"/>
  <c r="AI166" i="12"/>
  <c r="AJ166" i="12"/>
  <c r="AM166" i="12"/>
  <c r="AK166" i="12" s="1" a="1"/>
  <c r="AK166" i="12" s="1"/>
  <c r="AI167" i="12"/>
  <c r="AJ167" i="12"/>
  <c r="AK167" i="12" a="1"/>
  <c r="AK167" i="12" s="1"/>
  <c r="AM167" i="12"/>
  <c r="AI168" i="12"/>
  <c r="AJ168" i="12"/>
  <c r="AK168" i="12" a="1"/>
  <c r="AK168" i="12" s="1"/>
  <c r="AM168" i="12"/>
  <c r="AI169" i="12"/>
  <c r="AJ169" i="12"/>
  <c r="AM169" i="12"/>
  <c r="AI170" i="12"/>
  <c r="AJ170" i="12"/>
  <c r="AM170" i="12"/>
  <c r="AK170" i="12" s="1" a="1"/>
  <c r="AK170" i="12" s="1"/>
  <c r="AI171" i="12"/>
  <c r="AJ171" i="12"/>
  <c r="AK171" i="12" a="1"/>
  <c r="AK171" i="12" s="1"/>
  <c r="AM171" i="12"/>
  <c r="AI172" i="12"/>
  <c r="AJ172" i="12"/>
  <c r="AK172" i="12" a="1"/>
  <c r="AK172" i="12" s="1"/>
  <c r="AM172" i="12"/>
  <c r="AI173" i="12"/>
  <c r="AJ173" i="12"/>
  <c r="AM173" i="12"/>
  <c r="AI174" i="12"/>
  <c r="AJ174" i="12"/>
  <c r="AM174" i="12"/>
  <c r="AK174" i="12" s="1" a="1"/>
  <c r="AK174" i="12" s="1"/>
  <c r="AI175" i="12"/>
  <c r="AJ175" i="12"/>
  <c r="AK175" i="12" a="1"/>
  <c r="AK175" i="12" s="1"/>
  <c r="AM175" i="12"/>
  <c r="AI176" i="12"/>
  <c r="AJ176" i="12"/>
  <c r="AK176" i="12" a="1"/>
  <c r="AK176" i="12" s="1"/>
  <c r="AM176" i="12"/>
  <c r="AI177" i="12"/>
  <c r="AJ177" i="12"/>
  <c r="AM177" i="12"/>
  <c r="AI178" i="12"/>
  <c r="AJ178" i="12"/>
  <c r="AM178" i="12"/>
  <c r="AK178" i="12" s="1" a="1"/>
  <c r="AK178" i="12" s="1"/>
  <c r="AI179" i="12"/>
  <c r="AJ179" i="12"/>
  <c r="AK179" i="12" a="1"/>
  <c r="AK179" i="12" s="1"/>
  <c r="AM179" i="12"/>
  <c r="AI180" i="12"/>
  <c r="AJ180" i="12"/>
  <c r="AK180" i="12" a="1"/>
  <c r="AK180" i="12" s="1"/>
  <c r="AM180" i="12"/>
  <c r="AI181" i="12"/>
  <c r="AJ181" i="12"/>
  <c r="AM181" i="12"/>
  <c r="AI182" i="12"/>
  <c r="AJ182" i="12"/>
  <c r="AM182" i="12"/>
  <c r="AK182" i="12" s="1" a="1"/>
  <c r="AK182" i="12" s="1"/>
  <c r="AI183" i="12"/>
  <c r="AJ183" i="12"/>
  <c r="AK183" i="12" a="1"/>
  <c r="AK183" i="12" s="1"/>
  <c r="AM183" i="12"/>
  <c r="AI184" i="12"/>
  <c r="AJ184" i="12"/>
  <c r="AK184" i="12" a="1"/>
  <c r="AK184" i="12" s="1"/>
  <c r="AM184" i="12"/>
  <c r="AI185" i="12"/>
  <c r="AJ185" i="12"/>
  <c r="AM185" i="12"/>
  <c r="AI186" i="12"/>
  <c r="AJ186" i="12"/>
  <c r="AM186" i="12"/>
  <c r="AK186" i="12" s="1" a="1"/>
  <c r="AK186" i="12" s="1"/>
  <c r="AI187" i="12"/>
  <c r="AJ187" i="12"/>
  <c r="AK187" i="12" a="1"/>
  <c r="AK187" i="12" s="1"/>
  <c r="AM187" i="12"/>
  <c r="AI188" i="12"/>
  <c r="AJ188" i="12"/>
  <c r="AK188" i="12" a="1"/>
  <c r="AK188" i="12" s="1"/>
  <c r="AM188" i="12"/>
  <c r="AI189" i="12"/>
  <c r="AJ189" i="12"/>
  <c r="AM189" i="12"/>
  <c r="AI190" i="12"/>
  <c r="AJ190" i="12"/>
  <c r="AM190" i="12"/>
  <c r="AI191" i="12"/>
  <c r="AJ191" i="12"/>
  <c r="AK191" i="12" a="1"/>
  <c r="AK191" i="12" s="1"/>
  <c r="AM191" i="12"/>
  <c r="AI192" i="12"/>
  <c r="AJ192" i="12"/>
  <c r="AK192" i="12" a="1"/>
  <c r="AK192" i="12" s="1"/>
  <c r="AM192" i="12"/>
  <c r="AI193" i="12"/>
  <c r="AJ193" i="12"/>
  <c r="AM193" i="12"/>
  <c r="AI194" i="12"/>
  <c r="AJ194" i="12"/>
  <c r="AM194" i="12"/>
  <c r="AK194" i="12" s="1" a="1"/>
  <c r="AK194" i="12" s="1"/>
  <c r="AI195" i="12"/>
  <c r="AJ195" i="12"/>
  <c r="AK195" i="12" a="1"/>
  <c r="AK195" i="12" s="1"/>
  <c r="AM195" i="12"/>
  <c r="AI196" i="12"/>
  <c r="AJ196" i="12"/>
  <c r="AK196" i="12" a="1"/>
  <c r="AK196" i="12" s="1"/>
  <c r="AM196" i="12"/>
  <c r="AI197" i="12"/>
  <c r="AJ197" i="12"/>
  <c r="AM197" i="12"/>
  <c r="AI198" i="12"/>
  <c r="AJ198" i="12"/>
  <c r="AM198" i="12"/>
  <c r="AK198" i="12" s="1" a="1"/>
  <c r="AK198" i="12" s="1"/>
  <c r="AI199" i="12"/>
  <c r="AJ199" i="12"/>
  <c r="AK199" i="12" a="1"/>
  <c r="AK199" i="12" s="1"/>
  <c r="AM199" i="12"/>
  <c r="AI200" i="12"/>
  <c r="AJ200" i="12"/>
  <c r="AK200" i="12" a="1"/>
  <c r="AK200" i="12" s="1"/>
  <c r="AM200" i="12"/>
  <c r="AI201" i="12"/>
  <c r="AJ201" i="12"/>
  <c r="AM201" i="12"/>
  <c r="AI202" i="12"/>
  <c r="AJ202" i="12"/>
  <c r="AM202" i="12"/>
  <c r="AK202" i="12" s="1" a="1"/>
  <c r="AK202" i="12" s="1"/>
  <c r="AI203" i="12"/>
  <c r="AJ203" i="12"/>
  <c r="AK203" i="12" a="1"/>
  <c r="AK203" i="12" s="1"/>
  <c r="AM203" i="12"/>
  <c r="AI204" i="12"/>
  <c r="AJ204" i="12"/>
  <c r="AK204" i="12" a="1"/>
  <c r="AK204" i="12" s="1"/>
  <c r="AM204" i="12"/>
  <c r="AI205" i="12"/>
  <c r="AJ205" i="12"/>
  <c r="AM205" i="12"/>
  <c r="AI206" i="12"/>
  <c r="AJ206" i="12"/>
  <c r="AM206" i="12"/>
  <c r="AI207" i="12"/>
  <c r="AJ207" i="12"/>
  <c r="AK207" i="12" a="1"/>
  <c r="AK207" i="12" s="1"/>
  <c r="AM207" i="12"/>
  <c r="AI208" i="12"/>
  <c r="AJ208" i="12"/>
  <c r="AK208" i="12" a="1"/>
  <c r="AK208" i="12" s="1"/>
  <c r="AM208" i="12"/>
  <c r="AI209" i="12"/>
  <c r="AJ209" i="12"/>
  <c r="AM209" i="12"/>
  <c r="AI210" i="12"/>
  <c r="AJ210" i="12"/>
  <c r="AM210" i="12"/>
  <c r="AK210" i="12" s="1" a="1"/>
  <c r="AK210" i="12" s="1"/>
  <c r="AI211" i="12"/>
  <c r="AJ211" i="12"/>
  <c r="AK211" i="12" a="1"/>
  <c r="AK211" i="12" s="1"/>
  <c r="AM211" i="12"/>
  <c r="AI212" i="12"/>
  <c r="AJ212" i="12"/>
  <c r="AK212" i="12" a="1"/>
  <c r="AK212" i="12" s="1"/>
  <c r="AM212" i="12"/>
  <c r="AI213" i="12"/>
  <c r="AJ213" i="12"/>
  <c r="AM213" i="12"/>
  <c r="AI214" i="12"/>
  <c r="AJ214" i="12"/>
  <c r="AM214" i="12"/>
  <c r="AK214" i="12" s="1" a="1"/>
  <c r="AK214" i="12" s="1"/>
  <c r="AI215" i="12"/>
  <c r="AJ215" i="12"/>
  <c r="AK215" i="12" a="1"/>
  <c r="AK215" i="12" s="1"/>
  <c r="AM215" i="12"/>
  <c r="AI216" i="12"/>
  <c r="AJ216" i="12"/>
  <c r="AK216" i="12" a="1"/>
  <c r="AK216" i="12" s="1"/>
  <c r="AM216" i="12"/>
  <c r="AI217" i="12"/>
  <c r="AJ217" i="12"/>
  <c r="AM217" i="12"/>
  <c r="AI218" i="12"/>
  <c r="AJ218" i="12"/>
  <c r="AM218" i="12"/>
  <c r="AK218" i="12" s="1" a="1"/>
  <c r="AK218" i="12" s="1"/>
  <c r="AI219" i="12"/>
  <c r="AJ219" i="12"/>
  <c r="AK219" i="12" a="1"/>
  <c r="AK219" i="12" s="1"/>
  <c r="AM219" i="12"/>
  <c r="AI220" i="12"/>
  <c r="AJ220" i="12"/>
  <c r="AK220" i="12" a="1"/>
  <c r="AK220" i="12" s="1"/>
  <c r="AM220" i="12"/>
  <c r="AI221" i="12"/>
  <c r="AJ221" i="12"/>
  <c r="AM221" i="12"/>
  <c r="AK221" i="12" s="1" a="1"/>
  <c r="AK221" i="12" s="1"/>
  <c r="AI222" i="12"/>
  <c r="AJ222" i="12"/>
  <c r="AM222" i="12"/>
  <c r="AI223" i="12"/>
  <c r="AJ223" i="12"/>
  <c r="AK223" i="12" a="1"/>
  <c r="AK223" i="12"/>
  <c r="AM223" i="12"/>
  <c r="AI224" i="12"/>
  <c r="AJ224" i="12"/>
  <c r="AK224" i="12" a="1"/>
  <c r="AK224" i="12" s="1"/>
  <c r="AM224" i="12"/>
  <c r="AI225" i="12"/>
  <c r="AJ225" i="12"/>
  <c r="AM225" i="12"/>
  <c r="AK225" i="12" s="1" a="1"/>
  <c r="AK225" i="12" s="1"/>
  <c r="AI226" i="12"/>
  <c r="AJ226" i="12"/>
  <c r="AM226" i="12"/>
  <c r="AI227" i="12"/>
  <c r="AJ227" i="12"/>
  <c r="AK227" i="12" a="1"/>
  <c r="AK227" i="12"/>
  <c r="AM227" i="12"/>
  <c r="AI228" i="12"/>
  <c r="AJ228" i="12"/>
  <c r="AK228" i="12" a="1"/>
  <c r="AK228" i="12" s="1"/>
  <c r="AM228" i="12"/>
  <c r="AI229" i="12"/>
  <c r="AJ229" i="12"/>
  <c r="AM229" i="12"/>
  <c r="AK229" i="12" s="1" a="1"/>
  <c r="AK229" i="12" s="1"/>
  <c r="AI230" i="12"/>
  <c r="AJ230" i="12"/>
  <c r="AM230" i="12"/>
  <c r="AK230" i="12" s="1" a="1"/>
  <c r="AK230" i="12" s="1"/>
  <c r="AI231" i="12"/>
  <c r="AJ231" i="12"/>
  <c r="AK231" i="12" a="1"/>
  <c r="AK231" i="12" s="1"/>
  <c r="AM231" i="12"/>
  <c r="AI232" i="12"/>
  <c r="AJ232" i="12"/>
  <c r="AK232" i="12" a="1"/>
  <c r="AK232" i="12" s="1"/>
  <c r="AM232" i="12"/>
  <c r="AI233" i="12"/>
  <c r="AJ233" i="12"/>
  <c r="AM233" i="12"/>
  <c r="AK233" i="12" s="1" a="1"/>
  <c r="AK233" i="12" s="1"/>
  <c r="AI234" i="12"/>
  <c r="AJ234" i="12"/>
  <c r="AM234" i="12"/>
  <c r="AK234" i="12" s="1" a="1"/>
  <c r="AK234" i="12" s="1"/>
  <c r="AI235" i="12"/>
  <c r="AJ235" i="12"/>
  <c r="AK235" i="12" a="1"/>
  <c r="AK235" i="12"/>
  <c r="AM235" i="12"/>
  <c r="AI236" i="12"/>
  <c r="AJ236" i="12"/>
  <c r="AK236" i="12" a="1"/>
  <c r="AK236" i="12" s="1"/>
  <c r="AM236" i="12"/>
  <c r="AI237" i="12"/>
  <c r="AJ237" i="12"/>
  <c r="AM237" i="12"/>
  <c r="AK237" i="12" s="1" a="1"/>
  <c r="AK237" i="12" s="1"/>
  <c r="AI238" i="12"/>
  <c r="AJ238" i="12"/>
  <c r="AM238" i="12"/>
  <c r="AK238" i="12" s="1" a="1"/>
  <c r="AK238" i="12" s="1"/>
  <c r="AI239" i="12"/>
  <c r="AJ239" i="12"/>
  <c r="AK239" i="12" a="1"/>
  <c r="AK239" i="12" s="1"/>
  <c r="AM239" i="12"/>
  <c r="AI240" i="12"/>
  <c r="AJ240" i="12"/>
  <c r="AK240" i="12" a="1"/>
  <c r="AK240" i="12" s="1"/>
  <c r="AM240" i="12"/>
  <c r="AI241" i="12"/>
  <c r="AJ241" i="12"/>
  <c r="AM241" i="12"/>
  <c r="AI242" i="12"/>
  <c r="AJ242" i="12"/>
  <c r="AM242" i="12"/>
  <c r="AI243" i="12"/>
  <c r="AJ243" i="12"/>
  <c r="AK243" i="12" a="1"/>
  <c r="AK243" i="12" s="1"/>
  <c r="AM243" i="12"/>
  <c r="AI244" i="12"/>
  <c r="AJ244" i="12"/>
  <c r="AK244" i="12" a="1"/>
  <c r="AK244" i="12" s="1"/>
  <c r="AM244" i="12"/>
  <c r="AI245" i="12"/>
  <c r="AJ245" i="12"/>
  <c r="AM245" i="12"/>
  <c r="AI246" i="12"/>
  <c r="AJ246" i="12"/>
  <c r="AM246" i="12"/>
  <c r="AK246" i="12" s="1" a="1"/>
  <c r="AK246" i="12" s="1"/>
  <c r="AI247" i="12"/>
  <c r="AJ247" i="12"/>
  <c r="AK247" i="12" a="1"/>
  <c r="AK247" i="12"/>
  <c r="AM247" i="12"/>
  <c r="AI248" i="12"/>
  <c r="AJ248" i="12"/>
  <c r="AK248" i="12" a="1"/>
  <c r="AK248" i="12" s="1"/>
  <c r="AM248" i="12"/>
  <c r="AI249" i="12"/>
  <c r="AJ249" i="12"/>
  <c r="AM249" i="12"/>
  <c r="AK249" i="12" s="1" a="1"/>
  <c r="AK249" i="12" s="1"/>
  <c r="AI250" i="12"/>
  <c r="AJ250" i="12"/>
  <c r="AM250" i="12"/>
  <c r="AK250" i="12" s="1" a="1"/>
  <c r="AK250" i="12" s="1"/>
  <c r="AI251" i="12"/>
  <c r="AJ251" i="12"/>
  <c r="AK251" i="12" a="1"/>
  <c r="AK251" i="12" s="1"/>
  <c r="AM251" i="12"/>
  <c r="AI252" i="12"/>
  <c r="AJ252" i="12"/>
  <c r="AK252" i="12" a="1"/>
  <c r="AK252" i="12" s="1"/>
  <c r="AM252" i="12"/>
  <c r="AI253" i="12"/>
  <c r="AJ253" i="12"/>
  <c r="AM253" i="12"/>
  <c r="AK253" i="12" s="1" a="1"/>
  <c r="AK253" i="12" s="1"/>
  <c r="AI254" i="12"/>
  <c r="AJ254" i="12"/>
  <c r="AK254" i="12"/>
  <c r="AM254" i="12"/>
  <c r="AK254" i="12" s="1" a="1"/>
  <c r="AI255" i="12"/>
  <c r="AJ255" i="12"/>
  <c r="AK255" i="12" a="1"/>
  <c r="AK255" i="12"/>
  <c r="AM255" i="12"/>
  <c r="AI256" i="12"/>
  <c r="AJ256" i="12"/>
  <c r="AM256" i="12"/>
  <c r="AK256" i="12" s="1" a="1"/>
  <c r="AK256" i="12" s="1"/>
  <c r="AI257" i="12"/>
  <c r="AJ257" i="12"/>
  <c r="AM257" i="12"/>
  <c r="AK257" i="12" s="1" a="1"/>
  <c r="AK257" i="12" s="1"/>
  <c r="AI258" i="12"/>
  <c r="AJ258" i="12"/>
  <c r="AK258" i="12" a="1"/>
  <c r="AK258" i="12" s="1"/>
  <c r="AM258" i="12"/>
  <c r="AI259" i="12"/>
  <c r="AJ259" i="12"/>
  <c r="AK259" i="12" a="1"/>
  <c r="AK259" i="12" s="1"/>
  <c r="AM259" i="12"/>
  <c r="AI260" i="12"/>
  <c r="AJ260" i="12"/>
  <c r="AK260" i="12" a="1"/>
  <c r="AK260" i="12" s="1"/>
  <c r="AM260" i="12"/>
  <c r="AI261" i="12"/>
  <c r="AJ261" i="12"/>
  <c r="AM261" i="12"/>
  <c r="AI262" i="12"/>
  <c r="AJ262" i="12"/>
  <c r="AK262" i="12"/>
  <c r="AM262" i="12"/>
  <c r="AK262" i="12" s="1" a="1"/>
  <c r="AI263" i="12"/>
  <c r="AJ263" i="12"/>
  <c r="AK263" i="12" a="1"/>
  <c r="AK263" i="12"/>
  <c r="AM263" i="12"/>
  <c r="AI264" i="12"/>
  <c r="AJ264" i="12"/>
  <c r="AM264" i="12"/>
  <c r="AK264" i="12" s="1" a="1"/>
  <c r="AK264" i="12" s="1"/>
  <c r="AI265" i="12"/>
  <c r="AJ265" i="12"/>
  <c r="AM265" i="12"/>
  <c r="AF266" i="12"/>
  <c r="AI266" i="12"/>
  <c r="AJ266" i="12"/>
  <c r="AK266" i="12" a="1"/>
  <c r="AK266" i="12" s="1"/>
  <c r="AM266" i="12"/>
  <c r="AI267" i="12"/>
  <c r="AJ267" i="12"/>
  <c r="AK267" i="12" a="1"/>
  <c r="AK267" i="12" s="1"/>
  <c r="AM267" i="12"/>
  <c r="AI268" i="12"/>
  <c r="AJ268" i="12"/>
  <c r="AM268" i="12"/>
  <c r="AI269" i="12"/>
  <c r="AJ269" i="12"/>
  <c r="AM269" i="12"/>
  <c r="AI270" i="12"/>
  <c r="AJ270" i="12"/>
  <c r="AK270" i="12" a="1"/>
  <c r="AK270" i="12" s="1"/>
  <c r="AM270" i="12"/>
  <c r="AI271" i="12"/>
  <c r="AJ271" i="12"/>
  <c r="AK271" i="12" a="1"/>
  <c r="AK271" i="12" s="1"/>
  <c r="AM271" i="12"/>
  <c r="AI272" i="12"/>
  <c r="AJ272" i="12"/>
  <c r="AM272" i="12"/>
  <c r="AI273" i="12"/>
  <c r="AJ273" i="12"/>
  <c r="AK273" i="12"/>
  <c r="AM273" i="12"/>
  <c r="AK273" i="12" s="1" a="1"/>
  <c r="AI274" i="12"/>
  <c r="AJ274" i="12"/>
  <c r="AK274" i="12" a="1"/>
  <c r="AK274" i="12" s="1"/>
  <c r="AM274" i="12"/>
  <c r="AI275" i="12"/>
  <c r="AJ275" i="12"/>
  <c r="AK275" i="12" a="1"/>
  <c r="AK275" i="12" s="1"/>
  <c r="AM275" i="12"/>
  <c r="AI276" i="12"/>
  <c r="AJ276" i="12"/>
  <c r="AM276" i="12"/>
  <c r="AI277" i="12"/>
  <c r="AJ277" i="12"/>
  <c r="AK277" i="12" a="1"/>
  <c r="AK277" i="12" s="1"/>
  <c r="AM277" i="12"/>
  <c r="AI278" i="12"/>
  <c r="AJ278" i="12"/>
  <c r="AK278" i="12" a="1"/>
  <c r="AK278" i="12"/>
  <c r="AM278" i="12"/>
  <c r="AI279" i="12"/>
  <c r="AK279" i="12" s="1" a="1"/>
  <c r="AK279" i="12" s="1"/>
  <c r="AJ279" i="12"/>
  <c r="AM279" i="12"/>
  <c r="AI280" i="12"/>
  <c r="AJ280" i="12"/>
  <c r="AM280" i="12"/>
  <c r="AK280" i="12" s="1" a="1"/>
  <c r="AK280" i="12" s="1"/>
  <c r="AI281" i="12"/>
  <c r="AJ281" i="12"/>
  <c r="AM281" i="12"/>
  <c r="AI282" i="12"/>
  <c r="AJ282" i="12"/>
  <c r="AK282" i="12" a="1"/>
  <c r="AK282" i="12"/>
  <c r="AM282" i="12"/>
  <c r="AI283" i="12"/>
  <c r="AJ283" i="12"/>
  <c r="AM283" i="12"/>
  <c r="AK283" i="12" s="1" a="1"/>
  <c r="AK283" i="12" s="1"/>
  <c r="AI284" i="12"/>
  <c r="AJ284" i="12"/>
  <c r="AM284" i="12"/>
  <c r="AK284" i="12" s="1" a="1"/>
  <c r="AK284" i="12" s="1"/>
  <c r="AI285" i="12"/>
  <c r="AJ285" i="12"/>
  <c r="AM285" i="12"/>
  <c r="AK285" i="12" s="1" a="1"/>
  <c r="AK285" i="12" s="1"/>
  <c r="AI286" i="12"/>
  <c r="AJ286" i="12"/>
  <c r="AK286" i="12" a="1"/>
  <c r="AK286" i="12" s="1"/>
  <c r="AM286" i="12"/>
  <c r="AI287" i="12"/>
  <c r="AJ287" i="12"/>
  <c r="AK287" i="12" a="1"/>
  <c r="AK287" i="12" s="1"/>
  <c r="AM287" i="12"/>
  <c r="AI288" i="12"/>
  <c r="AJ288" i="12"/>
  <c r="AM288" i="12"/>
  <c r="AK288" i="12" s="1" a="1"/>
  <c r="AK288" i="12" s="1"/>
  <c r="AI289" i="12"/>
  <c r="AJ289" i="12"/>
  <c r="AM289" i="12"/>
  <c r="AI290" i="12"/>
  <c r="AJ290" i="12"/>
  <c r="AK290" i="12" a="1"/>
  <c r="AK290" i="12"/>
  <c r="AM290" i="12"/>
  <c r="AI291" i="12"/>
  <c r="AJ291" i="12"/>
  <c r="AM291" i="12"/>
  <c r="AK291" i="12" s="1" a="1"/>
  <c r="AK291" i="12" s="1"/>
  <c r="AI292" i="12"/>
  <c r="AJ292" i="12"/>
  <c r="AM292" i="12"/>
  <c r="AK292" i="12" s="1" a="1"/>
  <c r="AK292" i="12" s="1"/>
  <c r="AI293" i="12"/>
  <c r="AJ293" i="12"/>
  <c r="AM293" i="12"/>
  <c r="AK293" i="12" s="1" a="1"/>
  <c r="AK293" i="12" s="1"/>
  <c r="AI294" i="12"/>
  <c r="AJ294" i="12"/>
  <c r="AK294" i="12" a="1"/>
  <c r="AK294" i="12" s="1"/>
  <c r="AM294" i="12"/>
  <c r="AI295" i="12"/>
  <c r="AJ295" i="12"/>
  <c r="AK295" i="12" a="1"/>
  <c r="AK295" i="12" s="1"/>
  <c r="AM295" i="12"/>
  <c r="AI296" i="12"/>
  <c r="AJ296" i="12"/>
  <c r="AM296" i="12"/>
  <c r="AK296" i="12" s="1" a="1"/>
  <c r="AK296" i="12" s="1"/>
  <c r="AI297" i="12"/>
  <c r="AJ297" i="12"/>
  <c r="AK297" i="12"/>
  <c r="AM297" i="12"/>
  <c r="AK297" i="12" s="1" a="1"/>
  <c r="AI298" i="12"/>
  <c r="AJ298" i="12"/>
  <c r="AK298" i="12" a="1"/>
  <c r="AK298" i="12"/>
  <c r="AM298" i="12"/>
  <c r="AI299" i="12"/>
  <c r="AJ299" i="12"/>
  <c r="AK299" i="12" a="1"/>
  <c r="AK299" i="12" s="1"/>
  <c r="AM299" i="12"/>
  <c r="AI300" i="12"/>
  <c r="AJ300" i="12"/>
  <c r="AM300" i="12"/>
  <c r="AK300" i="12" s="1" a="1"/>
  <c r="AK300" i="12" s="1"/>
  <c r="AI301" i="12"/>
  <c r="AJ301" i="12"/>
  <c r="AK301" i="12" a="1"/>
  <c r="AK301" i="12" s="1"/>
  <c r="AM301" i="12"/>
  <c r="AI302" i="12"/>
  <c r="AJ302" i="12"/>
  <c r="AK302" i="12" a="1"/>
  <c r="AK302" i="12" s="1"/>
  <c r="AM302" i="12"/>
  <c r="AI303" i="12"/>
  <c r="AK303" i="12" s="1" a="1"/>
  <c r="AK303" i="12" s="1"/>
  <c r="AJ303" i="12"/>
  <c r="AM303" i="12"/>
  <c r="AI304" i="12"/>
  <c r="AJ304" i="12"/>
  <c r="AM304" i="12"/>
  <c r="AI305" i="12"/>
  <c r="AJ305" i="12"/>
  <c r="AM305" i="12"/>
  <c r="AK305" i="12" s="1" a="1"/>
  <c r="AK305" i="12" s="1"/>
  <c r="AI306" i="12"/>
  <c r="AJ306" i="12"/>
  <c r="AK306" i="12" a="1"/>
  <c r="AK306" i="12" s="1"/>
  <c r="AM306" i="12"/>
  <c r="AI307" i="12"/>
  <c r="AJ307" i="12"/>
  <c r="AM307" i="12"/>
  <c r="AK307" i="12" s="1" a="1"/>
  <c r="AK307" i="12" s="1"/>
  <c r="AI308" i="12"/>
  <c r="AJ308" i="12"/>
  <c r="AM308" i="12"/>
  <c r="AI309" i="12"/>
  <c r="AJ309" i="12"/>
  <c r="AM309" i="12"/>
  <c r="AK309" i="12" s="1" a="1"/>
  <c r="AK309" i="12" s="1"/>
  <c r="AI310" i="12"/>
  <c r="AJ310" i="12"/>
  <c r="AK310" i="12" a="1"/>
  <c r="AK310" i="12"/>
  <c r="AM310" i="12"/>
  <c r="AI311" i="12"/>
  <c r="AJ311" i="12"/>
  <c r="AK311" i="12" a="1"/>
  <c r="AK311" i="12" s="1"/>
  <c r="AM311" i="12"/>
  <c r="AI312" i="12"/>
  <c r="AJ312" i="12"/>
  <c r="AM312" i="12"/>
  <c r="AI313" i="12"/>
  <c r="AJ313" i="12"/>
  <c r="AM313" i="12"/>
  <c r="AK313" i="12" s="1" a="1"/>
  <c r="AK313" i="12" s="1"/>
  <c r="AI314" i="12"/>
  <c r="AJ314" i="12"/>
  <c r="AK314" i="12" a="1"/>
  <c r="AK314" i="12" s="1"/>
  <c r="AM314" i="12"/>
  <c r="AI315" i="12"/>
  <c r="AJ315" i="12"/>
  <c r="AK315" i="12" a="1"/>
  <c r="AK315" i="12" s="1"/>
  <c r="AM315" i="12"/>
  <c r="AI316" i="12"/>
  <c r="AJ316" i="12"/>
  <c r="AK316" i="12"/>
  <c r="AM316" i="12"/>
  <c r="AK316" i="12" s="1" a="1"/>
  <c r="AI317" i="12"/>
  <c r="AJ317" i="12"/>
  <c r="AK317" i="12" a="1"/>
  <c r="AK317" i="12" s="1"/>
  <c r="AM317" i="12"/>
  <c r="AI318" i="12"/>
  <c r="AJ318" i="12"/>
  <c r="AK318" i="12" a="1"/>
  <c r="AK318" i="12" s="1"/>
  <c r="AM318" i="12"/>
  <c r="AI319" i="12"/>
  <c r="AK319" i="12" s="1" a="1"/>
  <c r="AK319" i="12" s="1"/>
  <c r="AJ319" i="12"/>
  <c r="AM319" i="12"/>
  <c r="AI320" i="12"/>
  <c r="AJ320" i="12"/>
  <c r="AM320" i="12"/>
  <c r="AK320" i="12" s="1" a="1"/>
  <c r="AK320" i="12" s="1"/>
  <c r="AI321" i="12"/>
  <c r="AJ321" i="12"/>
  <c r="AM321" i="12"/>
  <c r="AK321" i="12" s="1" a="1"/>
  <c r="AK321" i="12" s="1"/>
  <c r="AI322" i="12"/>
  <c r="AJ322" i="12"/>
  <c r="AK322" i="12" a="1"/>
  <c r="AK322" i="12" s="1"/>
  <c r="AM322" i="12"/>
  <c r="AI323" i="12"/>
  <c r="AJ323" i="12"/>
  <c r="AK323" i="12" a="1"/>
  <c r="AK323" i="12" s="1"/>
  <c r="AM323" i="12"/>
  <c r="AI324" i="12"/>
  <c r="AJ324" i="12"/>
  <c r="AM324" i="12"/>
  <c r="AI325" i="12"/>
  <c r="AJ325" i="12"/>
  <c r="AM325" i="12"/>
  <c r="AK325" i="12" s="1" a="1"/>
  <c r="AK325" i="12" s="1"/>
  <c r="AF326" i="12"/>
  <c r="AI326" i="12"/>
  <c r="AJ326" i="12"/>
  <c r="AM326" i="12"/>
  <c r="AK326" i="12" s="1" a="1"/>
  <c r="AK326" i="12" s="1"/>
  <c r="AI327" i="12"/>
  <c r="AJ327" i="12"/>
  <c r="AM327" i="12"/>
  <c r="AK327" i="12" s="1" a="1"/>
  <c r="AK327" i="12" s="1"/>
  <c r="AI328" i="12"/>
  <c r="AJ328" i="12"/>
  <c r="AK328" i="12" a="1"/>
  <c r="AK328" i="12" s="1"/>
  <c r="AM328" i="12"/>
  <c r="AI329" i="12"/>
  <c r="AJ329" i="12"/>
  <c r="AK329" i="12" a="1"/>
  <c r="AK329" i="12" s="1"/>
  <c r="AM329" i="12"/>
  <c r="AI330" i="12"/>
  <c r="AJ330" i="12"/>
  <c r="AM330" i="12"/>
  <c r="AK330" i="12" s="1" a="1"/>
  <c r="AK330" i="12" s="1"/>
  <c r="AI331" i="12"/>
  <c r="AJ331" i="12"/>
  <c r="AM331" i="12"/>
  <c r="AK331" i="12" s="1" a="1"/>
  <c r="AK331" i="12" s="1"/>
  <c r="AI332" i="12"/>
  <c r="AJ332" i="12"/>
  <c r="AK332" i="12" a="1"/>
  <c r="AK332" i="12"/>
  <c r="AM332" i="12"/>
  <c r="AI333" i="12"/>
  <c r="AJ333" i="12"/>
  <c r="AM333" i="12"/>
  <c r="AK333" i="12" s="1" a="1"/>
  <c r="AK333" i="12" s="1"/>
  <c r="AI334" i="12"/>
  <c r="AJ334" i="12"/>
  <c r="AM334" i="12"/>
  <c r="AK334" i="12" s="1" a="1"/>
  <c r="AK334" i="12" s="1"/>
  <c r="AI335" i="12"/>
  <c r="AJ335" i="12"/>
  <c r="AM335" i="12"/>
  <c r="AK335" i="12" s="1" a="1"/>
  <c r="AK335" i="12" s="1"/>
  <c r="AI336" i="12"/>
  <c r="AJ336" i="12"/>
  <c r="AK336" i="12" a="1"/>
  <c r="AK336" i="12" s="1"/>
  <c r="AM336" i="12"/>
  <c r="AI337" i="12"/>
  <c r="AJ337" i="12"/>
  <c r="AK337" i="12" a="1"/>
  <c r="AK337" i="12" s="1"/>
  <c r="AM337" i="12"/>
  <c r="AI338" i="12"/>
  <c r="AJ338" i="12"/>
  <c r="AM338" i="12"/>
  <c r="AK338" i="12" s="1" a="1"/>
  <c r="AK338" i="12" s="1"/>
  <c r="AI339" i="12"/>
  <c r="AJ339" i="12"/>
  <c r="AM339" i="12"/>
  <c r="AK339" i="12" s="1" a="1"/>
  <c r="AK339" i="12" s="1"/>
  <c r="AI340" i="12"/>
  <c r="AJ340" i="12"/>
  <c r="AK340" i="12" a="1"/>
  <c r="AK340" i="12"/>
  <c r="AM340" i="12"/>
  <c r="AI341" i="12"/>
  <c r="AJ341" i="12"/>
  <c r="AM341" i="12"/>
  <c r="AK341" i="12" s="1" a="1"/>
  <c r="AK341" i="12" s="1"/>
  <c r="AI342" i="12"/>
  <c r="AJ342" i="12"/>
  <c r="AM342" i="12"/>
  <c r="AK342" i="12" s="1" a="1"/>
  <c r="AK342" i="12" s="1"/>
  <c r="AI343" i="12"/>
  <c r="AJ343" i="12"/>
  <c r="AM343" i="12"/>
  <c r="AK343" i="12" s="1" a="1"/>
  <c r="AK343" i="12" s="1"/>
  <c r="AI344" i="12"/>
  <c r="AJ344" i="12"/>
  <c r="AK344" i="12" a="1"/>
  <c r="AK344" i="12" s="1"/>
  <c r="AM344" i="12"/>
  <c r="AI345" i="12"/>
  <c r="AJ345" i="12"/>
  <c r="AK345" i="12" a="1"/>
  <c r="AK345" i="12" s="1"/>
  <c r="AM345" i="12"/>
  <c r="AI346" i="12"/>
  <c r="AJ346" i="12"/>
  <c r="AM346" i="12"/>
  <c r="AK346" i="12" s="1" a="1"/>
  <c r="AK346" i="12" s="1"/>
  <c r="AI347" i="12"/>
  <c r="AJ347" i="12"/>
  <c r="AM347" i="12"/>
  <c r="AK347" i="12" s="1" a="1"/>
  <c r="AK347" i="12" s="1"/>
  <c r="AI348" i="12"/>
  <c r="AJ348" i="12"/>
  <c r="AK348" i="12" a="1"/>
  <c r="AK348" i="12"/>
  <c r="AM348" i="12"/>
  <c r="AI349" i="12"/>
  <c r="AJ349" i="12"/>
  <c r="AM349" i="12"/>
  <c r="AK349" i="12" s="1" a="1"/>
  <c r="AK349" i="12" s="1"/>
  <c r="AI350" i="12"/>
  <c r="AJ350" i="12"/>
  <c r="AM350" i="12"/>
  <c r="AK350" i="12" s="1" a="1"/>
  <c r="AK350" i="12" s="1"/>
  <c r="AI351" i="12"/>
  <c r="AJ351" i="12"/>
  <c r="AM351" i="12"/>
  <c r="AK351" i="12" s="1" a="1"/>
  <c r="AK351" i="12" s="1"/>
  <c r="AI352" i="12"/>
  <c r="AJ352" i="12"/>
  <c r="AK352" i="12" a="1"/>
  <c r="AK352" i="12" s="1"/>
  <c r="AM352" i="12"/>
  <c r="AI353" i="12"/>
  <c r="AJ353" i="12"/>
  <c r="AK353" i="12" a="1"/>
  <c r="AK353" i="12" s="1"/>
  <c r="AM353" i="12"/>
  <c r="AI354" i="12"/>
  <c r="AJ354" i="12"/>
  <c r="AM354" i="12"/>
  <c r="AK354" i="12" s="1" a="1"/>
  <c r="AK354" i="12" s="1"/>
  <c r="AI355" i="12"/>
  <c r="AJ355" i="12"/>
  <c r="AM355" i="12"/>
  <c r="AK355" i="12" s="1" a="1"/>
  <c r="AK355" i="12" s="1"/>
  <c r="AI356" i="12"/>
  <c r="AJ356" i="12"/>
  <c r="AK356" i="12" a="1"/>
  <c r="AK356" i="12"/>
  <c r="AM356" i="12"/>
  <c r="AI357" i="12"/>
  <c r="AJ357" i="12"/>
  <c r="AM357" i="12"/>
  <c r="AK357" i="12" s="1" a="1"/>
  <c r="AK357" i="12" s="1"/>
  <c r="AI358" i="12"/>
  <c r="AJ358" i="12"/>
  <c r="AM358" i="12"/>
  <c r="AK358" i="12" s="1" a="1"/>
  <c r="AK358" i="12" s="1"/>
  <c r="AI359" i="12"/>
  <c r="AJ359" i="12"/>
  <c r="AM359" i="12"/>
  <c r="AK359" i="12" s="1" a="1"/>
  <c r="AK359" i="12" s="1"/>
  <c r="AI360" i="12"/>
  <c r="AJ360" i="12"/>
  <c r="AK360" i="12" a="1"/>
  <c r="AK360" i="12" s="1"/>
  <c r="AM360" i="12"/>
  <c r="AI361" i="12"/>
  <c r="AJ361" i="12"/>
  <c r="AK361" i="12" a="1"/>
  <c r="AK361" i="12" s="1"/>
  <c r="AM361" i="12"/>
  <c r="AI362" i="12"/>
  <c r="AJ362" i="12"/>
  <c r="AM362" i="12"/>
  <c r="AK362" i="12" s="1" a="1"/>
  <c r="AK362" i="12" s="1"/>
  <c r="AI363" i="12"/>
  <c r="AJ363" i="12"/>
  <c r="AM363" i="12"/>
  <c r="AK363" i="12" s="1" a="1"/>
  <c r="AK363" i="12" s="1"/>
  <c r="AI364" i="12"/>
  <c r="AJ364" i="12"/>
  <c r="AK364" i="12" a="1"/>
  <c r="AK364" i="12"/>
  <c r="AM364" i="12"/>
  <c r="AI365" i="12"/>
  <c r="AJ365" i="12"/>
  <c r="AM365" i="12"/>
  <c r="AK365" i="12" s="1" a="1"/>
  <c r="AK365" i="12" s="1"/>
  <c r="AI366" i="12"/>
  <c r="AJ366" i="12"/>
  <c r="AM366" i="12"/>
  <c r="AK366" i="12" s="1" a="1"/>
  <c r="AK366" i="12" s="1"/>
  <c r="AI367" i="12"/>
  <c r="AJ367" i="12"/>
  <c r="AM367" i="12"/>
  <c r="AK367" i="12" s="1" a="1"/>
  <c r="AK367" i="12" s="1"/>
  <c r="AI368" i="12"/>
  <c r="AJ368" i="12"/>
  <c r="AK368" i="12" a="1"/>
  <c r="AK368" i="12" s="1"/>
  <c r="AM368" i="12"/>
  <c r="AI369" i="12"/>
  <c r="AJ369" i="12"/>
  <c r="AK369" i="12" a="1"/>
  <c r="AK369" i="12" s="1"/>
  <c r="AM369" i="12"/>
  <c r="AI370" i="12"/>
  <c r="AJ370" i="12"/>
  <c r="AM370" i="12"/>
  <c r="AK370" i="12" s="1" a="1"/>
  <c r="AK370" i="12" s="1"/>
  <c r="AI371" i="12"/>
  <c r="AJ371" i="12"/>
  <c r="AM371" i="12"/>
  <c r="AK371" i="12" s="1" a="1"/>
  <c r="AK371" i="12" s="1"/>
  <c r="AI372" i="12"/>
  <c r="AJ372" i="12"/>
  <c r="AK372" i="12" a="1"/>
  <c r="AK372" i="12"/>
  <c r="AM372" i="12"/>
  <c r="AI373" i="12"/>
  <c r="AJ373" i="12"/>
  <c r="AM373" i="12"/>
  <c r="AK373" i="12" s="1" a="1"/>
  <c r="AK373" i="12" s="1"/>
  <c r="G3" i="10"/>
  <c r="H3" i="10" s="1"/>
  <c r="M3" i="10"/>
  <c r="G4" i="10"/>
  <c r="I4" i="10" s="1"/>
  <c r="H4" i="10"/>
  <c r="M4" i="10"/>
  <c r="G5" i="10"/>
  <c r="M5" i="10"/>
  <c r="G6" i="10"/>
  <c r="I6" i="10" s="1"/>
  <c r="H6" i="10"/>
  <c r="M6" i="10"/>
  <c r="G7" i="10"/>
  <c r="M7" i="10"/>
  <c r="G8" i="10"/>
  <c r="I8" i="10" s="1"/>
  <c r="H8" i="10"/>
  <c r="M8" i="10"/>
  <c r="G9" i="10"/>
  <c r="M9" i="10"/>
  <c r="G10" i="10"/>
  <c r="I10" i="10" s="1"/>
  <c r="H10" i="10"/>
  <c r="M10" i="10"/>
  <c r="G11" i="10"/>
  <c r="M11" i="10"/>
  <c r="G12" i="10"/>
  <c r="I12" i="10" s="1"/>
  <c r="H12" i="10"/>
  <c r="M12" i="10"/>
  <c r="G13" i="10"/>
  <c r="M13" i="10"/>
  <c r="G14" i="10"/>
  <c r="I14" i="10" s="1"/>
  <c r="H14" i="10"/>
  <c r="M14" i="10"/>
  <c r="G15" i="10"/>
  <c r="M15" i="10"/>
  <c r="G16" i="10"/>
  <c r="I16" i="10" s="1"/>
  <c r="H16" i="10"/>
  <c r="M16" i="10"/>
  <c r="G17" i="10"/>
  <c r="M17" i="10"/>
  <c r="G18" i="10"/>
  <c r="I18" i="10" s="1"/>
  <c r="H18" i="10"/>
  <c r="M18" i="10"/>
  <c r="G19" i="10"/>
  <c r="M19" i="10"/>
  <c r="G20" i="10"/>
  <c r="I20" i="10" s="1"/>
  <c r="H20" i="10"/>
  <c r="M20" i="10"/>
  <c r="G21" i="10"/>
  <c r="M21" i="10"/>
  <c r="G22" i="10"/>
  <c r="I22" i="10" s="1"/>
  <c r="H22" i="10"/>
  <c r="M22" i="10"/>
  <c r="G23" i="10"/>
  <c r="M23" i="10"/>
  <c r="G24" i="10"/>
  <c r="I24" i="10" s="1"/>
  <c r="H24" i="10"/>
  <c r="M24" i="10"/>
  <c r="G25" i="10"/>
  <c r="M25" i="10"/>
  <c r="G26" i="10"/>
  <c r="I26" i="10" s="1"/>
  <c r="H26" i="10"/>
  <c r="M26" i="10"/>
  <c r="G27" i="10"/>
  <c r="M27" i="10"/>
  <c r="G28" i="10"/>
  <c r="I28" i="10" s="1"/>
  <c r="H28" i="10"/>
  <c r="M28" i="10"/>
  <c r="G29" i="10"/>
  <c r="M29" i="10"/>
  <c r="G30" i="10"/>
  <c r="I30" i="10" s="1"/>
  <c r="H30" i="10"/>
  <c r="M30" i="10"/>
  <c r="G31" i="10"/>
  <c r="M31" i="10"/>
  <c r="G32" i="10"/>
  <c r="I32" i="10" s="1"/>
  <c r="H32" i="10"/>
  <c r="M32" i="10"/>
  <c r="G33" i="10"/>
  <c r="M33" i="10"/>
  <c r="G34" i="10"/>
  <c r="I34" i="10" s="1"/>
  <c r="H34" i="10"/>
  <c r="M34" i="10"/>
  <c r="G35" i="10"/>
  <c r="M35" i="10"/>
  <c r="G36" i="10"/>
  <c r="I36" i="10" s="1"/>
  <c r="H36" i="10"/>
  <c r="M36" i="10"/>
  <c r="G37" i="10"/>
  <c r="M37" i="10"/>
  <c r="G38" i="10"/>
  <c r="I38" i="10" s="1"/>
  <c r="H38" i="10"/>
  <c r="M38" i="10"/>
  <c r="G39" i="10"/>
  <c r="M39" i="10"/>
  <c r="G40" i="10"/>
  <c r="I40" i="10" s="1"/>
  <c r="H40" i="10"/>
  <c r="M40" i="10"/>
  <c r="G41" i="10"/>
  <c r="M41" i="10"/>
  <c r="G42" i="10"/>
  <c r="I42" i="10" s="1"/>
  <c r="H42" i="10"/>
  <c r="M42" i="10"/>
  <c r="G43" i="10"/>
  <c r="M43" i="10"/>
  <c r="G44" i="10"/>
  <c r="I44" i="10" s="1"/>
  <c r="H44" i="10"/>
  <c r="M44" i="10"/>
  <c r="G45" i="10"/>
  <c r="M45" i="10"/>
  <c r="G46" i="10"/>
  <c r="I46" i="10" s="1"/>
  <c r="H46" i="10"/>
  <c r="M46" i="10"/>
  <c r="G47" i="10"/>
  <c r="M47" i="10"/>
  <c r="G48" i="10"/>
  <c r="I48" i="10" s="1"/>
  <c r="H48" i="10"/>
  <c r="M48" i="10"/>
  <c r="G49" i="10"/>
  <c r="M49" i="10"/>
  <c r="G50" i="10"/>
  <c r="I50" i="10" s="1"/>
  <c r="H50" i="10"/>
  <c r="M50" i="10"/>
  <c r="G51" i="10"/>
  <c r="M51" i="10"/>
  <c r="G52" i="10"/>
  <c r="I52" i="10" s="1"/>
  <c r="H52" i="10"/>
  <c r="M52" i="10"/>
  <c r="G53" i="10"/>
  <c r="M53" i="10"/>
  <c r="G54" i="10"/>
  <c r="I54" i="10" s="1"/>
  <c r="H54" i="10"/>
  <c r="M54" i="10"/>
  <c r="G55" i="10"/>
  <c r="M55" i="10"/>
  <c r="G56" i="10"/>
  <c r="I56" i="10" s="1"/>
  <c r="H56" i="10"/>
  <c r="M56" i="10"/>
  <c r="G57" i="10"/>
  <c r="M57" i="10"/>
  <c r="G58" i="10"/>
  <c r="I58" i="10" s="1"/>
  <c r="H58" i="10"/>
  <c r="M58" i="10"/>
  <c r="G59" i="10"/>
  <c r="M59" i="10"/>
  <c r="G60" i="10"/>
  <c r="I60" i="10" s="1"/>
  <c r="H60" i="10"/>
  <c r="M60" i="10"/>
  <c r="G61" i="10"/>
  <c r="M61" i="10"/>
  <c r="G62" i="10"/>
  <c r="I62" i="10" s="1"/>
  <c r="H62" i="10"/>
  <c r="M62" i="10"/>
  <c r="G63" i="10"/>
  <c r="M63" i="10"/>
  <c r="G64" i="10"/>
  <c r="I64" i="10" s="1"/>
  <c r="H64" i="10"/>
  <c r="M64" i="10"/>
  <c r="G65" i="10"/>
  <c r="M65" i="10"/>
  <c r="G66" i="10"/>
  <c r="I66" i="10" s="1"/>
  <c r="H66" i="10"/>
  <c r="M66" i="10"/>
  <c r="G67" i="10"/>
  <c r="M67" i="10"/>
  <c r="G68" i="10"/>
  <c r="I68" i="10" s="1"/>
  <c r="H68" i="10"/>
  <c r="M68" i="10"/>
  <c r="G69" i="10"/>
  <c r="M69" i="10"/>
  <c r="G70" i="10"/>
  <c r="I70" i="10" s="1"/>
  <c r="H70" i="10"/>
  <c r="M70" i="10"/>
  <c r="G71" i="10"/>
  <c r="M71" i="10"/>
  <c r="G72" i="10"/>
  <c r="I72" i="10" s="1"/>
  <c r="H72" i="10"/>
  <c r="M72" i="10"/>
  <c r="G73" i="10"/>
  <c r="M73" i="10"/>
  <c r="G74" i="10"/>
  <c r="I74" i="10" s="1"/>
  <c r="H74" i="10"/>
  <c r="M74" i="10"/>
  <c r="G75" i="10"/>
  <c r="M75" i="10"/>
  <c r="G76" i="10"/>
  <c r="I76" i="10" s="1"/>
  <c r="H76" i="10"/>
  <c r="M76" i="10"/>
  <c r="G77" i="10"/>
  <c r="M77" i="10"/>
  <c r="G78" i="10"/>
  <c r="I78" i="10" s="1"/>
  <c r="H78" i="10"/>
  <c r="M78" i="10"/>
  <c r="G79" i="10"/>
  <c r="M79" i="10"/>
  <c r="G80" i="10"/>
  <c r="I80" i="10" s="1"/>
  <c r="H80" i="10"/>
  <c r="M80" i="10"/>
  <c r="G81" i="10"/>
  <c r="M81" i="10"/>
  <c r="G82" i="10"/>
  <c r="I82" i="10" s="1"/>
  <c r="H82" i="10"/>
  <c r="M82" i="10"/>
  <c r="G83" i="10"/>
  <c r="M83" i="10"/>
  <c r="G84" i="10"/>
  <c r="I84" i="10" s="1"/>
  <c r="H84" i="10"/>
  <c r="M84" i="10"/>
  <c r="G85" i="10"/>
  <c r="M85" i="10"/>
  <c r="G86" i="10"/>
  <c r="I86" i="10" s="1"/>
  <c r="H86" i="10"/>
  <c r="M86" i="10"/>
  <c r="G87" i="10"/>
  <c r="M87" i="10"/>
  <c r="G88" i="10"/>
  <c r="I88" i="10" s="1"/>
  <c r="H88" i="10"/>
  <c r="M88" i="10"/>
  <c r="G89" i="10"/>
  <c r="M89" i="10"/>
  <c r="G90" i="10"/>
  <c r="I90" i="10" s="1"/>
  <c r="H90" i="10"/>
  <c r="M90" i="10"/>
  <c r="G91" i="10"/>
  <c r="M91" i="10"/>
  <c r="G92" i="10"/>
  <c r="I92" i="10" s="1"/>
  <c r="H92" i="10"/>
  <c r="M92" i="10"/>
  <c r="G93" i="10"/>
  <c r="M93" i="10"/>
  <c r="G94" i="10"/>
  <c r="I94" i="10" s="1"/>
  <c r="H94" i="10"/>
  <c r="M94" i="10"/>
  <c r="G95" i="10"/>
  <c r="M95" i="10"/>
  <c r="G96" i="10"/>
  <c r="I96" i="10" s="1"/>
  <c r="H96" i="10"/>
  <c r="M96" i="10"/>
  <c r="G97" i="10"/>
  <c r="M97" i="10"/>
  <c r="G98" i="10"/>
  <c r="I98" i="10" s="1"/>
  <c r="H98" i="10"/>
  <c r="M98" i="10"/>
  <c r="G99" i="10"/>
  <c r="M99" i="10"/>
  <c r="G100" i="10"/>
  <c r="I100" i="10" s="1"/>
  <c r="H100" i="10"/>
  <c r="M100" i="10"/>
  <c r="G101" i="10"/>
  <c r="M101" i="10"/>
  <c r="G102" i="10"/>
  <c r="I102" i="10" s="1"/>
  <c r="H102" i="10"/>
  <c r="M102" i="10"/>
  <c r="G103" i="10"/>
  <c r="M103" i="10"/>
  <c r="G104" i="10"/>
  <c r="I104" i="10" s="1"/>
  <c r="H104" i="10"/>
  <c r="M104" i="10"/>
  <c r="G105" i="10"/>
  <c r="M105" i="10"/>
  <c r="G106" i="10"/>
  <c r="I106" i="10" s="1"/>
  <c r="H106" i="10"/>
  <c r="M106" i="10"/>
  <c r="G107" i="10"/>
  <c r="M107" i="10"/>
  <c r="G108" i="10"/>
  <c r="I108" i="10" s="1"/>
  <c r="H108" i="10"/>
  <c r="M108" i="10"/>
  <c r="G109" i="10"/>
  <c r="H109" i="10" s="1"/>
  <c r="M109" i="10"/>
  <c r="G110" i="10"/>
  <c r="I110" i="10" s="1"/>
  <c r="H110" i="10"/>
  <c r="M110" i="10"/>
  <c r="G111" i="10"/>
  <c r="M111" i="10"/>
  <c r="G112" i="10"/>
  <c r="I112" i="10" s="1"/>
  <c r="H112" i="10"/>
  <c r="M112" i="10"/>
  <c r="G113" i="10"/>
  <c r="H113" i="10" s="1"/>
  <c r="M113" i="10"/>
  <c r="G114" i="10"/>
  <c r="I114" i="10" s="1"/>
  <c r="H114" i="10"/>
  <c r="M114" i="10"/>
  <c r="G115" i="10"/>
  <c r="H115" i="10" s="1"/>
  <c r="M115" i="10"/>
  <c r="G116" i="10"/>
  <c r="I116" i="10" s="1"/>
  <c r="H116" i="10"/>
  <c r="M116" i="10"/>
  <c r="G117" i="10"/>
  <c r="H117" i="10" s="1"/>
  <c r="M117" i="10"/>
  <c r="G118" i="10"/>
  <c r="I118" i="10" s="1"/>
  <c r="H118" i="10"/>
  <c r="M118" i="10"/>
  <c r="G119" i="10"/>
  <c r="M119" i="10"/>
  <c r="G120" i="10"/>
  <c r="I120" i="10" s="1"/>
  <c r="H120" i="10"/>
  <c r="M120" i="10"/>
  <c r="G121" i="10"/>
  <c r="H121" i="10" s="1"/>
  <c r="M121" i="10"/>
  <c r="G122" i="10"/>
  <c r="I122" i="10" s="1"/>
  <c r="H122" i="10"/>
  <c r="M122" i="10"/>
  <c r="G123" i="10"/>
  <c r="H123" i="10" s="1"/>
  <c r="M123" i="10"/>
  <c r="G124" i="10"/>
  <c r="I124" i="10" s="1"/>
  <c r="H124" i="10"/>
  <c r="M124" i="10"/>
  <c r="G125" i="10"/>
  <c r="H125" i="10" s="1"/>
  <c r="M125" i="10"/>
  <c r="G126" i="10"/>
  <c r="I126" i="10" s="1"/>
  <c r="H126" i="10"/>
  <c r="M126" i="10"/>
  <c r="G127" i="10"/>
  <c r="M127" i="10"/>
  <c r="G128" i="10"/>
  <c r="I128" i="10" s="1"/>
  <c r="H128" i="10"/>
  <c r="M128" i="10"/>
  <c r="G129" i="10"/>
  <c r="H129" i="10" s="1"/>
  <c r="M129" i="10"/>
  <c r="G130" i="10"/>
  <c r="I130" i="10" s="1"/>
  <c r="H130" i="10"/>
  <c r="M130" i="10"/>
  <c r="G131" i="10"/>
  <c r="H131" i="10" s="1"/>
  <c r="M131" i="10"/>
  <c r="G132" i="10"/>
  <c r="I132" i="10" s="1"/>
  <c r="H132" i="10"/>
  <c r="M132" i="10"/>
  <c r="G133" i="10"/>
  <c r="H133" i="10" s="1"/>
  <c r="M133" i="10"/>
  <c r="G134" i="10"/>
  <c r="I134" i="10" s="1"/>
  <c r="H134" i="10"/>
  <c r="M134" i="10"/>
  <c r="G135" i="10"/>
  <c r="M135" i="10"/>
  <c r="G136" i="10"/>
  <c r="I136" i="10" s="1"/>
  <c r="H136" i="10"/>
  <c r="M136" i="10"/>
  <c r="G137" i="10"/>
  <c r="H137" i="10" s="1"/>
  <c r="M137" i="10"/>
  <c r="G138" i="10"/>
  <c r="I138" i="10" s="1"/>
  <c r="H138" i="10"/>
  <c r="M138" i="10"/>
  <c r="G139" i="10"/>
  <c r="H139" i="10" s="1"/>
  <c r="M139" i="10"/>
  <c r="G140" i="10"/>
  <c r="I140" i="10" s="1"/>
  <c r="H140" i="10"/>
  <c r="M140" i="10"/>
  <c r="G141" i="10"/>
  <c r="H141" i="10" s="1"/>
  <c r="M141" i="10"/>
  <c r="G142" i="10"/>
  <c r="I142" i="10" s="1"/>
  <c r="H142" i="10"/>
  <c r="M142" i="10"/>
  <c r="G143" i="10"/>
  <c r="M143" i="10"/>
  <c r="G144" i="10"/>
  <c r="I144" i="10" s="1"/>
  <c r="H144" i="10"/>
  <c r="M144" i="10"/>
  <c r="G145" i="10"/>
  <c r="H145" i="10" s="1"/>
  <c r="M145" i="10"/>
  <c r="G146" i="10"/>
  <c r="I146" i="10" s="1"/>
  <c r="H146" i="10"/>
  <c r="M146" i="10"/>
  <c r="G147" i="10"/>
  <c r="H147" i="10" s="1"/>
  <c r="M147" i="10"/>
  <c r="G148" i="10"/>
  <c r="I148" i="10" s="1"/>
  <c r="H148" i="10"/>
  <c r="M148" i="10"/>
  <c r="G149" i="10"/>
  <c r="M149" i="10"/>
  <c r="G150" i="10"/>
  <c r="I150" i="10" s="1"/>
  <c r="H150" i="10"/>
  <c r="M150" i="10"/>
  <c r="G151" i="10"/>
  <c r="M151" i="10"/>
  <c r="G152" i="10"/>
  <c r="I152" i="10" s="1"/>
  <c r="H152" i="10"/>
  <c r="M152" i="10"/>
  <c r="G153" i="10"/>
  <c r="H153" i="10" s="1"/>
  <c r="M153" i="10"/>
  <c r="G154" i="10"/>
  <c r="I154" i="10" s="1"/>
  <c r="H154" i="10"/>
  <c r="M154" i="10"/>
  <c r="G155" i="10"/>
  <c r="M155" i="10"/>
  <c r="G156" i="10"/>
  <c r="I156" i="10" s="1"/>
  <c r="H156" i="10"/>
  <c r="M156" i="10"/>
  <c r="G157" i="10"/>
  <c r="M157" i="10"/>
  <c r="G158" i="10"/>
  <c r="I158" i="10" s="1"/>
  <c r="H158" i="10"/>
  <c r="M158" i="10"/>
  <c r="G159" i="10"/>
  <c r="M159" i="10"/>
  <c r="G160" i="10"/>
  <c r="I160" i="10" s="1"/>
  <c r="H160" i="10"/>
  <c r="M160" i="10"/>
  <c r="G161" i="10"/>
  <c r="H161" i="10" s="1"/>
  <c r="M161" i="10"/>
  <c r="G162" i="10"/>
  <c r="I162" i="10" s="1"/>
  <c r="H162" i="10"/>
  <c r="M162" i="10"/>
  <c r="G163" i="10"/>
  <c r="M163" i="10"/>
  <c r="G164" i="10"/>
  <c r="I164" i="10" s="1"/>
  <c r="H164" i="10"/>
  <c r="M164" i="10"/>
  <c r="G165" i="10"/>
  <c r="M165" i="10"/>
  <c r="G166" i="10"/>
  <c r="I166" i="10" s="1"/>
  <c r="H166" i="10"/>
  <c r="M166" i="10"/>
  <c r="G167" i="10"/>
  <c r="H167" i="10" s="1"/>
  <c r="I167" i="10"/>
  <c r="M167" i="10"/>
  <c r="G168" i="10"/>
  <c r="H168" i="10" s="1"/>
  <c r="I168" i="10"/>
  <c r="M168" i="10"/>
  <c r="G169" i="10"/>
  <c r="H169" i="10" s="1"/>
  <c r="I169" i="10"/>
  <c r="M169" i="10"/>
  <c r="G170" i="10"/>
  <c r="H170" i="10"/>
  <c r="I170" i="10"/>
  <c r="M170" i="10"/>
  <c r="G171" i="10"/>
  <c r="H171" i="10" s="1"/>
  <c r="I171" i="10"/>
  <c r="M171" i="10"/>
  <c r="G172" i="10"/>
  <c r="H172" i="10" s="1"/>
  <c r="I172" i="10"/>
  <c r="M172" i="10"/>
  <c r="G173" i="10"/>
  <c r="H173" i="10" s="1"/>
  <c r="I173" i="10"/>
  <c r="M173" i="10"/>
  <c r="G174" i="10"/>
  <c r="H174" i="10" s="1"/>
  <c r="I174" i="10"/>
  <c r="M174" i="10"/>
  <c r="G175" i="10"/>
  <c r="H175" i="10" s="1"/>
  <c r="M175" i="10"/>
  <c r="G176" i="10"/>
  <c r="H176" i="10" s="1"/>
  <c r="I176" i="10"/>
  <c r="M176" i="10"/>
  <c r="G177" i="10"/>
  <c r="H177" i="10" s="1"/>
  <c r="M177" i="10"/>
  <c r="G178" i="10"/>
  <c r="H178" i="10" s="1"/>
  <c r="M178" i="10"/>
  <c r="G179" i="10"/>
  <c r="M179" i="10"/>
  <c r="G180" i="10"/>
  <c r="H180" i="10" s="1"/>
  <c r="I180" i="10"/>
  <c r="M180" i="10"/>
  <c r="G181" i="10"/>
  <c r="H181" i="10" s="1"/>
  <c r="I181" i="10"/>
  <c r="M181" i="10"/>
  <c r="G182" i="10"/>
  <c r="H182" i="10" s="1"/>
  <c r="I182" i="10"/>
  <c r="M182" i="10"/>
  <c r="G183" i="10"/>
  <c r="H183" i="10" s="1"/>
  <c r="M183" i="10"/>
  <c r="G184" i="10"/>
  <c r="H184" i="10" s="1"/>
  <c r="I184" i="10"/>
  <c r="M184" i="10"/>
  <c r="G185" i="10"/>
  <c r="H185" i="10" s="1"/>
  <c r="M185" i="10"/>
  <c r="G186" i="10"/>
  <c r="H186" i="10" s="1"/>
  <c r="M186" i="10"/>
  <c r="G187" i="10"/>
  <c r="M187" i="10"/>
  <c r="G188" i="10"/>
  <c r="H188" i="10" s="1"/>
  <c r="I188" i="10"/>
  <c r="M188" i="10"/>
  <c r="G189" i="10"/>
  <c r="H189" i="10" s="1"/>
  <c r="I189" i="10"/>
  <c r="M189" i="10"/>
  <c r="G190" i="10"/>
  <c r="H190" i="10" s="1"/>
  <c r="I190" i="10"/>
  <c r="M190" i="10"/>
  <c r="G191" i="10"/>
  <c r="H191" i="10" s="1"/>
  <c r="M191" i="10"/>
  <c r="G192" i="10"/>
  <c r="H192" i="10" s="1"/>
  <c r="I192" i="10"/>
  <c r="M192" i="10"/>
  <c r="G193" i="10"/>
  <c r="H193" i="10" s="1"/>
  <c r="M193" i="10"/>
  <c r="G194" i="10"/>
  <c r="H194" i="10" s="1"/>
  <c r="M194" i="10"/>
  <c r="G195" i="10"/>
  <c r="M195" i="10"/>
  <c r="G196" i="10"/>
  <c r="H196" i="10" s="1"/>
  <c r="I196" i="10"/>
  <c r="M196" i="10"/>
  <c r="G197" i="10"/>
  <c r="H197" i="10" s="1"/>
  <c r="I197" i="10"/>
  <c r="M197" i="10"/>
  <c r="G198" i="10"/>
  <c r="H198" i="10" s="1"/>
  <c r="I198" i="10"/>
  <c r="M198" i="10"/>
  <c r="G199" i="10"/>
  <c r="H199" i="10" s="1"/>
  <c r="M199" i="10"/>
  <c r="G200" i="10"/>
  <c r="H200" i="10" s="1"/>
  <c r="I200" i="10"/>
  <c r="M200" i="10"/>
  <c r="G201" i="10"/>
  <c r="H201" i="10" s="1"/>
  <c r="M201" i="10"/>
  <c r="G202" i="10"/>
  <c r="H202" i="10" s="1"/>
  <c r="M202" i="10"/>
  <c r="G203" i="10"/>
  <c r="M203" i="10"/>
  <c r="G204" i="10"/>
  <c r="H204" i="10" s="1"/>
  <c r="I204" i="10"/>
  <c r="M204" i="10"/>
  <c r="G205" i="10"/>
  <c r="H205" i="10" s="1"/>
  <c r="I205" i="10"/>
  <c r="M205" i="10"/>
  <c r="G206" i="10"/>
  <c r="H206" i="10" s="1"/>
  <c r="I206" i="10"/>
  <c r="M206" i="10"/>
  <c r="G207" i="10"/>
  <c r="H207" i="10" s="1"/>
  <c r="M207" i="10"/>
  <c r="G208" i="10"/>
  <c r="H208" i="10" s="1"/>
  <c r="I208" i="10"/>
  <c r="M208" i="10"/>
  <c r="G209" i="10"/>
  <c r="H209" i="10" s="1"/>
  <c r="M209" i="10"/>
  <c r="G210" i="10"/>
  <c r="H210" i="10" s="1"/>
  <c r="M210" i="10"/>
  <c r="G211" i="10"/>
  <c r="M211" i="10"/>
  <c r="G212" i="10"/>
  <c r="H212" i="10" s="1"/>
  <c r="I212" i="10"/>
  <c r="M212" i="10"/>
  <c r="G213" i="10"/>
  <c r="H213" i="10" s="1"/>
  <c r="I213" i="10"/>
  <c r="M213" i="10"/>
  <c r="G214" i="10"/>
  <c r="H214" i="10" s="1"/>
  <c r="I214" i="10"/>
  <c r="M214" i="10"/>
  <c r="G215" i="10"/>
  <c r="H215" i="10" s="1"/>
  <c r="M215" i="10"/>
  <c r="G216" i="10"/>
  <c r="H216" i="10" s="1"/>
  <c r="I216" i="10"/>
  <c r="M216" i="10"/>
  <c r="G217" i="10"/>
  <c r="H217" i="10" s="1"/>
  <c r="M217" i="10"/>
  <c r="G218" i="10"/>
  <c r="H218" i="10" s="1"/>
  <c r="M218" i="10"/>
  <c r="G219" i="10"/>
  <c r="M219" i="10"/>
  <c r="G220" i="10"/>
  <c r="H220" i="10" s="1"/>
  <c r="I220" i="10"/>
  <c r="M220" i="10"/>
  <c r="G221" i="10"/>
  <c r="H221" i="10" s="1"/>
  <c r="I221" i="10"/>
  <c r="M221" i="10"/>
  <c r="G222" i="10"/>
  <c r="H222" i="10" s="1"/>
  <c r="I222" i="10"/>
  <c r="M222" i="10"/>
  <c r="G223" i="10"/>
  <c r="H223" i="10" s="1"/>
  <c r="M223" i="10"/>
  <c r="G224" i="10"/>
  <c r="H224" i="10" s="1"/>
  <c r="I224" i="10"/>
  <c r="M224" i="10"/>
  <c r="G225" i="10"/>
  <c r="H225" i="10" s="1"/>
  <c r="M225" i="10"/>
  <c r="G226" i="10"/>
  <c r="H226" i="10" s="1"/>
  <c r="M226" i="10"/>
  <c r="G227" i="10"/>
  <c r="M227" i="10"/>
  <c r="G228" i="10"/>
  <c r="H228" i="10" s="1"/>
  <c r="I228" i="10"/>
  <c r="M228" i="10"/>
  <c r="G229" i="10"/>
  <c r="H229" i="10" s="1"/>
  <c r="I229" i="10"/>
  <c r="M229" i="10"/>
  <c r="G230" i="10"/>
  <c r="H230" i="10" s="1"/>
  <c r="I230" i="10"/>
  <c r="M230" i="10"/>
  <c r="G231" i="10"/>
  <c r="H231" i="10" s="1"/>
  <c r="M231" i="10"/>
  <c r="G232" i="10"/>
  <c r="H232" i="10" s="1"/>
  <c r="I232" i="10"/>
  <c r="M232" i="10"/>
  <c r="G233" i="10"/>
  <c r="H233" i="10" s="1"/>
  <c r="M233" i="10"/>
  <c r="G234" i="10"/>
  <c r="H234" i="10" s="1"/>
  <c r="M234" i="10"/>
  <c r="G235" i="10"/>
  <c r="M235" i="10"/>
  <c r="G236" i="10"/>
  <c r="H236" i="10" s="1"/>
  <c r="I236" i="10"/>
  <c r="M236" i="10"/>
  <c r="G237" i="10"/>
  <c r="H237" i="10" s="1"/>
  <c r="I237" i="10"/>
  <c r="M237" i="10"/>
  <c r="G238" i="10"/>
  <c r="H238" i="10" s="1"/>
  <c r="I238" i="10"/>
  <c r="M238" i="10"/>
  <c r="G239" i="10"/>
  <c r="H239" i="10" s="1"/>
  <c r="M239" i="10"/>
  <c r="G240" i="10"/>
  <c r="H240" i="10" s="1"/>
  <c r="I240" i="10"/>
  <c r="M240" i="10"/>
  <c r="G241" i="10"/>
  <c r="H241" i="10" s="1"/>
  <c r="M241" i="10"/>
  <c r="G242" i="10"/>
  <c r="H242" i="10" s="1"/>
  <c r="M242" i="10"/>
  <c r="G243" i="10"/>
  <c r="M243" i="10"/>
  <c r="G244" i="10"/>
  <c r="H244" i="10" s="1"/>
  <c r="I244" i="10"/>
  <c r="M244" i="10"/>
  <c r="G245" i="10"/>
  <c r="H245" i="10" s="1"/>
  <c r="I245" i="10"/>
  <c r="M245" i="10"/>
  <c r="G246" i="10"/>
  <c r="H246" i="10" s="1"/>
  <c r="I246" i="10"/>
  <c r="M246" i="10"/>
  <c r="G247" i="10"/>
  <c r="H247" i="10" s="1"/>
  <c r="M247" i="10"/>
  <c r="G248" i="10"/>
  <c r="H248" i="10" s="1"/>
  <c r="I248" i="10"/>
  <c r="M248" i="10"/>
  <c r="G249" i="10"/>
  <c r="H249" i="10" s="1"/>
  <c r="M249" i="10"/>
  <c r="G250" i="10"/>
  <c r="H250" i="10" s="1"/>
  <c r="M250" i="10"/>
  <c r="G251" i="10"/>
  <c r="M251" i="10"/>
  <c r="G252" i="10"/>
  <c r="H252" i="10" s="1"/>
  <c r="I252" i="10"/>
  <c r="M252" i="10"/>
  <c r="G253" i="10"/>
  <c r="H253" i="10" s="1"/>
  <c r="I253" i="10"/>
  <c r="M253" i="10"/>
  <c r="G254" i="10"/>
  <c r="H254" i="10" s="1"/>
  <c r="I254" i="10"/>
  <c r="M254" i="10"/>
  <c r="G255" i="10"/>
  <c r="H255" i="10" s="1"/>
  <c r="M255" i="10"/>
  <c r="G256" i="10"/>
  <c r="H256" i="10" s="1"/>
  <c r="I256" i="10"/>
  <c r="M256" i="10"/>
  <c r="G257" i="10"/>
  <c r="H257" i="10" s="1"/>
  <c r="M257" i="10"/>
  <c r="G258" i="10"/>
  <c r="H258" i="10" s="1"/>
  <c r="M258" i="10"/>
  <c r="G259" i="10"/>
  <c r="M259" i="10"/>
  <c r="G260" i="10"/>
  <c r="H260" i="10" s="1"/>
  <c r="I260" i="10"/>
  <c r="M260" i="10"/>
  <c r="G261" i="10"/>
  <c r="H261" i="10" s="1"/>
  <c r="I261" i="10"/>
  <c r="M261" i="10"/>
  <c r="G262" i="10"/>
  <c r="H262" i="10" s="1"/>
  <c r="I262" i="10"/>
  <c r="M262" i="10"/>
  <c r="G263" i="10"/>
  <c r="H263" i="10" s="1"/>
  <c r="M263" i="10"/>
  <c r="G264" i="10"/>
  <c r="H264" i="10" s="1"/>
  <c r="I264" i="10"/>
  <c r="M264" i="10"/>
  <c r="G265" i="10"/>
  <c r="H265" i="10" s="1"/>
  <c r="M265" i="10"/>
  <c r="G266" i="10"/>
  <c r="H266" i="10" s="1"/>
  <c r="M266" i="10"/>
  <c r="G267" i="10"/>
  <c r="M267" i="10"/>
  <c r="G268" i="10"/>
  <c r="H268" i="10" s="1"/>
  <c r="I268" i="10"/>
  <c r="M268" i="10"/>
  <c r="G269" i="10"/>
  <c r="H269" i="10" s="1"/>
  <c r="I269" i="10"/>
  <c r="M269" i="10"/>
  <c r="G270" i="10"/>
  <c r="H270" i="10" s="1"/>
  <c r="I270" i="10"/>
  <c r="M270" i="10"/>
  <c r="G271" i="10"/>
  <c r="H271" i="10" s="1"/>
  <c r="M271" i="10"/>
  <c r="G272" i="10"/>
  <c r="H272" i="10" s="1"/>
  <c r="I272" i="10"/>
  <c r="M272" i="10"/>
  <c r="G273" i="10"/>
  <c r="H273" i="10" s="1"/>
  <c r="M273" i="10"/>
  <c r="G274" i="10"/>
  <c r="H274" i="10" s="1"/>
  <c r="M274" i="10"/>
  <c r="G275" i="10"/>
  <c r="M275" i="10"/>
  <c r="G276" i="10"/>
  <c r="H276" i="10" s="1"/>
  <c r="I276" i="10"/>
  <c r="M276" i="10"/>
  <c r="G277" i="10"/>
  <c r="H277" i="10" s="1"/>
  <c r="I277" i="10"/>
  <c r="M277" i="10"/>
  <c r="G278" i="10"/>
  <c r="H278" i="10" s="1"/>
  <c r="I278" i="10"/>
  <c r="M278" i="10"/>
  <c r="G279" i="10"/>
  <c r="H279" i="10" s="1"/>
  <c r="M279" i="10"/>
  <c r="G280" i="10"/>
  <c r="H280" i="10" s="1"/>
  <c r="I280" i="10"/>
  <c r="M280" i="10"/>
  <c r="G281" i="10"/>
  <c r="H281" i="10" s="1"/>
  <c r="M281" i="10"/>
  <c r="G282" i="10"/>
  <c r="H282" i="10" s="1"/>
  <c r="M282" i="10"/>
  <c r="G283" i="10"/>
  <c r="M283" i="10"/>
  <c r="G284" i="10"/>
  <c r="H284" i="10" s="1"/>
  <c r="I284" i="10"/>
  <c r="M284" i="10"/>
  <c r="G285" i="10"/>
  <c r="H285" i="10" s="1"/>
  <c r="I285" i="10"/>
  <c r="M285" i="10"/>
  <c r="G286" i="10"/>
  <c r="H286" i="10" s="1"/>
  <c r="I286" i="10"/>
  <c r="M286" i="10"/>
  <c r="G287" i="10"/>
  <c r="H287" i="10" s="1"/>
  <c r="M287" i="10"/>
  <c r="G288" i="10"/>
  <c r="H288" i="10" s="1"/>
  <c r="I288" i="10"/>
  <c r="M288" i="10"/>
  <c r="G289" i="10"/>
  <c r="H289" i="10" s="1"/>
  <c r="M289" i="10"/>
  <c r="G290" i="10"/>
  <c r="H290" i="10" s="1"/>
  <c r="M290" i="10"/>
  <c r="G291" i="10"/>
  <c r="M291" i="10"/>
  <c r="G292" i="10"/>
  <c r="H292" i="10" s="1"/>
  <c r="I292" i="10"/>
  <c r="M292" i="10"/>
  <c r="G293" i="10"/>
  <c r="H293" i="10" s="1"/>
  <c r="I293" i="10"/>
  <c r="M293" i="10"/>
  <c r="G294" i="10"/>
  <c r="H294" i="10" s="1"/>
  <c r="I294" i="10"/>
  <c r="M294" i="10"/>
  <c r="G295" i="10"/>
  <c r="H295" i="10" s="1"/>
  <c r="M295" i="10"/>
  <c r="G296" i="10"/>
  <c r="H296" i="10" s="1"/>
  <c r="I296" i="10"/>
  <c r="M296" i="10"/>
  <c r="G297" i="10"/>
  <c r="H297" i="10" s="1"/>
  <c r="M297" i="10"/>
  <c r="G298" i="10"/>
  <c r="H298" i="10" s="1"/>
  <c r="M298" i="10"/>
  <c r="G299" i="10"/>
  <c r="M299" i="10"/>
  <c r="G300" i="10"/>
  <c r="H300" i="10" s="1"/>
  <c r="I300" i="10"/>
  <c r="M300" i="10"/>
  <c r="G301" i="10"/>
  <c r="H301" i="10" s="1"/>
  <c r="I301" i="10"/>
  <c r="M301" i="10"/>
  <c r="G302" i="10"/>
  <c r="H302" i="10" s="1"/>
  <c r="I302" i="10"/>
  <c r="M302" i="10"/>
  <c r="G303" i="10"/>
  <c r="H303" i="10" s="1"/>
  <c r="M303" i="10"/>
  <c r="G304" i="10"/>
  <c r="H304" i="10" s="1"/>
  <c r="I304" i="10"/>
  <c r="M304" i="10"/>
  <c r="G305" i="10"/>
  <c r="H305" i="10" s="1"/>
  <c r="M305" i="10"/>
  <c r="G306" i="10"/>
  <c r="H306" i="10" s="1"/>
  <c r="M306" i="10"/>
  <c r="G307" i="10"/>
  <c r="M307" i="10"/>
  <c r="G308" i="10"/>
  <c r="H308" i="10" s="1"/>
  <c r="I308" i="10"/>
  <c r="M308" i="10"/>
  <c r="G309" i="10"/>
  <c r="H309" i="10" s="1"/>
  <c r="I309" i="10"/>
  <c r="M309" i="10"/>
  <c r="G310" i="10"/>
  <c r="H310" i="10" s="1"/>
  <c r="I310" i="10"/>
  <c r="M310" i="10"/>
  <c r="G311" i="10"/>
  <c r="H311" i="10" s="1"/>
  <c r="M311" i="10"/>
  <c r="G312" i="10"/>
  <c r="H312" i="10" s="1"/>
  <c r="I312" i="10"/>
  <c r="M312" i="10"/>
  <c r="G313" i="10"/>
  <c r="H313" i="10" s="1"/>
  <c r="M313" i="10"/>
  <c r="G314" i="10"/>
  <c r="H314" i="10" s="1"/>
  <c r="M314" i="10"/>
  <c r="G315" i="10"/>
  <c r="M315" i="10"/>
  <c r="G316" i="10"/>
  <c r="H316" i="10" s="1"/>
  <c r="I316" i="10"/>
  <c r="M316" i="10"/>
  <c r="G317" i="10"/>
  <c r="H317" i="10" s="1"/>
  <c r="I317" i="10"/>
  <c r="M317" i="10"/>
  <c r="G318" i="10"/>
  <c r="H318" i="10" s="1"/>
  <c r="I318" i="10"/>
  <c r="M318" i="10"/>
  <c r="G319" i="10"/>
  <c r="H319" i="10" s="1"/>
  <c r="M319" i="10"/>
  <c r="G320" i="10"/>
  <c r="H320" i="10" s="1"/>
  <c r="I320" i="10"/>
  <c r="M320" i="10"/>
  <c r="G321" i="10"/>
  <c r="H321" i="10" s="1"/>
  <c r="I321" i="10"/>
  <c r="M321" i="10"/>
  <c r="G322" i="10"/>
  <c r="H322" i="10"/>
  <c r="I322" i="10"/>
  <c r="M322" i="10"/>
  <c r="G323" i="10"/>
  <c r="H323" i="10" s="1"/>
  <c r="I323" i="10"/>
  <c r="M323" i="10"/>
  <c r="G324" i="10"/>
  <c r="H324" i="10"/>
  <c r="I324" i="10"/>
  <c r="M324" i="10"/>
  <c r="G325" i="10"/>
  <c r="H325" i="10" s="1"/>
  <c r="I325" i="10"/>
  <c r="M325" i="10"/>
  <c r="G326" i="10"/>
  <c r="H326" i="10"/>
  <c r="I326" i="10"/>
  <c r="M326" i="10"/>
  <c r="G327" i="10"/>
  <c r="H327" i="10" s="1"/>
  <c r="I327" i="10"/>
  <c r="M327" i="10"/>
  <c r="G328" i="10"/>
  <c r="H328" i="10"/>
  <c r="I328" i="10"/>
  <c r="M328" i="10"/>
  <c r="G329" i="10"/>
  <c r="H329" i="10" s="1"/>
  <c r="I329" i="10"/>
  <c r="M329" i="10"/>
  <c r="G330" i="10"/>
  <c r="H330" i="10"/>
  <c r="I330" i="10"/>
  <c r="M330" i="10"/>
  <c r="G331" i="10"/>
  <c r="H331" i="10" s="1"/>
  <c r="I331" i="10"/>
  <c r="M331" i="10"/>
  <c r="G332" i="10"/>
  <c r="H332" i="10"/>
  <c r="I332" i="10"/>
  <c r="M332" i="10"/>
  <c r="G333" i="10"/>
  <c r="H333" i="10" s="1"/>
  <c r="I333" i="10"/>
  <c r="M333" i="10"/>
  <c r="G334" i="10"/>
  <c r="H334" i="10"/>
  <c r="I334" i="10"/>
  <c r="M334" i="10"/>
  <c r="G335" i="10"/>
  <c r="H335" i="10" s="1"/>
  <c r="I335" i="10"/>
  <c r="M335" i="10"/>
  <c r="G336" i="10"/>
  <c r="H336" i="10"/>
  <c r="I336" i="10"/>
  <c r="M336" i="10"/>
  <c r="G337" i="10"/>
  <c r="H337" i="10" s="1"/>
  <c r="I337" i="10"/>
  <c r="M337" i="10"/>
  <c r="G338" i="10"/>
  <c r="H338" i="10"/>
  <c r="I338" i="10"/>
  <c r="M338" i="10"/>
  <c r="G339" i="10"/>
  <c r="H339" i="10" s="1"/>
  <c r="I339" i="10"/>
  <c r="M339" i="10"/>
  <c r="G340" i="10"/>
  <c r="H340" i="10"/>
  <c r="I340" i="10"/>
  <c r="M340" i="10"/>
  <c r="G341" i="10"/>
  <c r="H341" i="10" s="1"/>
  <c r="I341" i="10"/>
  <c r="M341" i="10"/>
  <c r="G342" i="10"/>
  <c r="H342" i="10"/>
  <c r="I342" i="10"/>
  <c r="M342" i="10"/>
  <c r="G343" i="10"/>
  <c r="H343" i="10" s="1"/>
  <c r="I343" i="10"/>
  <c r="M343" i="10"/>
  <c r="G344" i="10"/>
  <c r="H344" i="10"/>
  <c r="I344" i="10"/>
  <c r="M344" i="10"/>
  <c r="G345" i="10"/>
  <c r="H345" i="10" s="1"/>
  <c r="I345" i="10"/>
  <c r="M345" i="10"/>
  <c r="G346" i="10"/>
  <c r="H346" i="10"/>
  <c r="I346" i="10"/>
  <c r="M346" i="10"/>
  <c r="G347" i="10"/>
  <c r="H347" i="10" s="1"/>
  <c r="I347" i="10"/>
  <c r="M347" i="10"/>
  <c r="G348" i="10"/>
  <c r="H348" i="10"/>
  <c r="I348" i="10"/>
  <c r="M348" i="10"/>
  <c r="G349" i="10"/>
  <c r="H349" i="10" s="1"/>
  <c r="I349" i="10"/>
  <c r="M349" i="10"/>
  <c r="G350" i="10"/>
  <c r="H350" i="10"/>
  <c r="I350" i="10"/>
  <c r="M350" i="10"/>
  <c r="G351" i="10"/>
  <c r="H351" i="10" s="1"/>
  <c r="I351" i="10"/>
  <c r="M351" i="10"/>
  <c r="G352" i="10"/>
  <c r="H352" i="10"/>
  <c r="I352" i="10"/>
  <c r="M352" i="10"/>
  <c r="G353" i="10"/>
  <c r="H353" i="10" s="1"/>
  <c r="I353" i="10"/>
  <c r="M353" i="10"/>
  <c r="G354" i="10"/>
  <c r="H354" i="10"/>
  <c r="I354" i="10"/>
  <c r="M354" i="10"/>
  <c r="G355" i="10"/>
  <c r="H355" i="10" s="1"/>
  <c r="I355" i="10"/>
  <c r="M355" i="10"/>
  <c r="G356" i="10"/>
  <c r="H356" i="10"/>
  <c r="I356" i="10"/>
  <c r="M356" i="10"/>
  <c r="G357" i="10"/>
  <c r="H357" i="10" s="1"/>
  <c r="I357" i="10"/>
  <c r="M357" i="10"/>
  <c r="G358" i="10"/>
  <c r="H358" i="10"/>
  <c r="I358" i="10"/>
  <c r="M358" i="10"/>
  <c r="G359" i="10"/>
  <c r="H359" i="10" s="1"/>
  <c r="I359" i="10"/>
  <c r="M359" i="10"/>
  <c r="G360" i="10"/>
  <c r="H360" i="10"/>
  <c r="I360" i="10"/>
  <c r="M360" i="10"/>
  <c r="G361" i="10"/>
  <c r="H361" i="10" s="1"/>
  <c r="I361" i="10"/>
  <c r="M361" i="10"/>
  <c r="G362" i="10"/>
  <c r="H362" i="10"/>
  <c r="I362" i="10"/>
  <c r="M362" i="10"/>
  <c r="G363" i="10"/>
  <c r="H363" i="10" s="1"/>
  <c r="I363" i="10"/>
  <c r="M363" i="10"/>
  <c r="G364" i="10"/>
  <c r="H364" i="10"/>
  <c r="I364" i="10"/>
  <c r="M364" i="10"/>
  <c r="G365" i="10"/>
  <c r="H365" i="10" s="1"/>
  <c r="I365" i="10"/>
  <c r="M365" i="10"/>
  <c r="G366" i="10"/>
  <c r="H366" i="10"/>
  <c r="I366" i="10"/>
  <c r="M366" i="10"/>
  <c r="G367" i="10"/>
  <c r="H367" i="10" s="1"/>
  <c r="I367" i="10"/>
  <c r="M367" i="10"/>
  <c r="G368" i="10"/>
  <c r="H368" i="10"/>
  <c r="I368" i="10"/>
  <c r="M368" i="10"/>
  <c r="G369" i="10"/>
  <c r="H369" i="10" s="1"/>
  <c r="I369" i="10"/>
  <c r="M369" i="10"/>
  <c r="G370" i="10"/>
  <c r="H370" i="10"/>
  <c r="I370" i="10"/>
  <c r="M370" i="10"/>
  <c r="G371" i="10"/>
  <c r="H371" i="10" s="1"/>
  <c r="I371" i="10"/>
  <c r="M371" i="10"/>
  <c r="G372" i="10"/>
  <c r="H372" i="10"/>
  <c r="I372" i="10"/>
  <c r="M372" i="10"/>
  <c r="G373" i="10"/>
  <c r="H373" i="10" s="1"/>
  <c r="I373" i="10"/>
  <c r="M373" i="10"/>
  <c r="G374" i="10"/>
  <c r="H374" i="10"/>
  <c r="I374" i="10"/>
  <c r="M374" i="10"/>
  <c r="G375" i="10"/>
  <c r="H375" i="10" s="1"/>
  <c r="I375" i="10"/>
  <c r="M375" i="10"/>
  <c r="G376" i="10"/>
  <c r="H376" i="10"/>
  <c r="I376" i="10"/>
  <c r="M376" i="10"/>
  <c r="G377" i="10"/>
  <c r="H377" i="10" s="1"/>
  <c r="I377" i="10"/>
  <c r="M377" i="10"/>
  <c r="G378" i="10"/>
  <c r="H378" i="10"/>
  <c r="I378" i="10"/>
  <c r="M378" i="10"/>
  <c r="G379" i="10"/>
  <c r="H379" i="10" s="1"/>
  <c r="I379" i="10"/>
  <c r="M379" i="10"/>
  <c r="G380" i="10"/>
  <c r="H380" i="10"/>
  <c r="I380" i="10"/>
  <c r="M380" i="10"/>
  <c r="G381" i="10"/>
  <c r="H381" i="10" s="1"/>
  <c r="I381" i="10"/>
  <c r="M381" i="10"/>
  <c r="G382" i="10"/>
  <c r="H382" i="10"/>
  <c r="I382" i="10"/>
  <c r="M382" i="10"/>
  <c r="G383" i="10"/>
  <c r="H383" i="10" s="1"/>
  <c r="I383" i="10"/>
  <c r="M383" i="10"/>
  <c r="G384" i="10"/>
  <c r="H384" i="10"/>
  <c r="I384" i="10"/>
  <c r="M384" i="10"/>
  <c r="G385" i="10"/>
  <c r="H385" i="10" s="1"/>
  <c r="I385" i="10"/>
  <c r="M385" i="10"/>
  <c r="G386" i="10"/>
  <c r="H386" i="10"/>
  <c r="I386" i="10"/>
  <c r="M386" i="10"/>
  <c r="G387" i="10"/>
  <c r="H387" i="10" s="1"/>
  <c r="I387" i="10"/>
  <c r="M387" i="10"/>
  <c r="G388" i="10"/>
  <c r="H388" i="10"/>
  <c r="I388" i="10"/>
  <c r="M388" i="10"/>
  <c r="G389" i="10"/>
  <c r="H389" i="10" s="1"/>
  <c r="I389" i="10"/>
  <c r="M389" i="10"/>
  <c r="G390" i="10"/>
  <c r="H390" i="10"/>
  <c r="I390" i="10"/>
  <c r="M390" i="10"/>
  <c r="G391" i="10"/>
  <c r="H391" i="10" s="1"/>
  <c r="I391" i="10"/>
  <c r="M391" i="10"/>
  <c r="G392" i="10"/>
  <c r="H392" i="10"/>
  <c r="I392" i="10"/>
  <c r="M392" i="10"/>
  <c r="G393" i="10"/>
  <c r="H393" i="10" s="1"/>
  <c r="I393" i="10"/>
  <c r="M393" i="10"/>
  <c r="G394" i="10"/>
  <c r="H394" i="10"/>
  <c r="I394" i="10"/>
  <c r="M394" i="10"/>
  <c r="G395" i="10"/>
  <c r="H395" i="10" s="1"/>
  <c r="I395" i="10"/>
  <c r="M395" i="10"/>
  <c r="G396" i="10"/>
  <c r="H396" i="10"/>
  <c r="I396" i="10"/>
  <c r="M396" i="10"/>
  <c r="G397" i="10"/>
  <c r="H397" i="10" s="1"/>
  <c r="I397" i="10"/>
  <c r="M397" i="10"/>
  <c r="G398" i="10"/>
  <c r="H398" i="10"/>
  <c r="I398" i="10"/>
  <c r="M398" i="10"/>
  <c r="G399" i="10"/>
  <c r="H399" i="10" s="1"/>
  <c r="I399" i="10"/>
  <c r="M399" i="10"/>
  <c r="G400" i="10"/>
  <c r="H400" i="10"/>
  <c r="I400" i="10"/>
  <c r="M400" i="10"/>
  <c r="G401" i="10"/>
  <c r="H401" i="10" s="1"/>
  <c r="M401" i="10"/>
  <c r="G402" i="10"/>
  <c r="H402" i="10"/>
  <c r="I402" i="10"/>
  <c r="M402" i="10"/>
  <c r="G403" i="10"/>
  <c r="H403" i="10" s="1"/>
  <c r="M403" i="10"/>
  <c r="G404" i="10"/>
  <c r="H404" i="10"/>
  <c r="I404" i="10"/>
  <c r="M404" i="10"/>
  <c r="G405" i="10"/>
  <c r="H405" i="10" s="1"/>
  <c r="I405" i="10"/>
  <c r="M405" i="10"/>
  <c r="G406" i="10"/>
  <c r="H406" i="10"/>
  <c r="I406" i="10"/>
  <c r="M406" i="10"/>
  <c r="G407" i="10"/>
  <c r="H407" i="10" s="1"/>
  <c r="M407" i="10"/>
  <c r="G408" i="10"/>
  <c r="H408" i="10"/>
  <c r="I408" i="10"/>
  <c r="M408" i="10"/>
  <c r="G409" i="10"/>
  <c r="H409" i="10" s="1"/>
  <c r="I409" i="10"/>
  <c r="M409" i="10"/>
  <c r="G410" i="10"/>
  <c r="H410" i="10"/>
  <c r="I410" i="10"/>
  <c r="M410" i="10"/>
  <c r="G411" i="10"/>
  <c r="H411" i="10" s="1"/>
  <c r="M411" i="10"/>
  <c r="G412" i="10"/>
  <c r="H412" i="10"/>
  <c r="I412" i="10"/>
  <c r="M412" i="10"/>
  <c r="G413" i="10"/>
  <c r="H413" i="10" s="1"/>
  <c r="M413" i="10"/>
  <c r="G414" i="10"/>
  <c r="H414" i="10"/>
  <c r="I414" i="10"/>
  <c r="M414" i="10"/>
  <c r="G415" i="10"/>
  <c r="H415" i="10" s="1"/>
  <c r="I415" i="10"/>
  <c r="M415" i="10"/>
  <c r="G416" i="10"/>
  <c r="H416" i="10"/>
  <c r="I416" i="10"/>
  <c r="M416" i="10"/>
  <c r="G417" i="10"/>
  <c r="H417" i="10" s="1"/>
  <c r="M417" i="10"/>
  <c r="G418" i="10"/>
  <c r="H418" i="10"/>
  <c r="I418" i="10"/>
  <c r="M418" i="10"/>
  <c r="G419" i="10"/>
  <c r="H419" i="10" s="1"/>
  <c r="M419" i="10"/>
  <c r="G420" i="10"/>
  <c r="H420" i="10"/>
  <c r="I420" i="10"/>
  <c r="M420" i="10"/>
  <c r="G421" i="10"/>
  <c r="H421" i="10" s="1"/>
  <c r="I421" i="10"/>
  <c r="M421" i="10"/>
  <c r="G422" i="10"/>
  <c r="H422" i="10"/>
  <c r="I422" i="10"/>
  <c r="M422" i="10"/>
  <c r="G423" i="10"/>
  <c r="H423" i="10" s="1"/>
  <c r="M423" i="10"/>
  <c r="G424" i="10"/>
  <c r="H424" i="10"/>
  <c r="I424" i="10"/>
  <c r="M424" i="10"/>
  <c r="G425" i="10"/>
  <c r="H425" i="10" s="1"/>
  <c r="I425" i="10"/>
  <c r="M425" i="10"/>
  <c r="G426" i="10"/>
  <c r="H426" i="10"/>
  <c r="I426" i="10"/>
  <c r="M426" i="10"/>
  <c r="G427" i="10"/>
  <c r="H427" i="10" s="1"/>
  <c r="I427" i="10"/>
  <c r="M427" i="10"/>
  <c r="G428" i="10"/>
  <c r="H428" i="10"/>
  <c r="I428" i="10"/>
  <c r="M428" i="10"/>
  <c r="G429" i="10"/>
  <c r="H429" i="10" s="1"/>
  <c r="M429" i="10"/>
  <c r="G430" i="10"/>
  <c r="H430" i="10"/>
  <c r="I430" i="10"/>
  <c r="M430" i="10"/>
  <c r="G431" i="10"/>
  <c r="H431" i="10" s="1"/>
  <c r="I431" i="10"/>
  <c r="M431" i="10"/>
  <c r="G432" i="10"/>
  <c r="H432" i="10"/>
  <c r="I432" i="10"/>
  <c r="M432" i="10"/>
  <c r="G433" i="10"/>
  <c r="H433" i="10" s="1"/>
  <c r="M433" i="10"/>
  <c r="G434" i="10"/>
  <c r="H434" i="10"/>
  <c r="I434" i="10"/>
  <c r="M434" i="10"/>
  <c r="G435" i="10"/>
  <c r="H435" i="10" s="1"/>
  <c r="M435" i="10"/>
  <c r="G436" i="10"/>
  <c r="H436" i="10"/>
  <c r="I436" i="10"/>
  <c r="M436" i="10"/>
  <c r="G437" i="10"/>
  <c r="H437" i="10" s="1"/>
  <c r="I437" i="10"/>
  <c r="M437" i="10"/>
  <c r="G438" i="10"/>
  <c r="H438" i="10"/>
  <c r="I438" i="10"/>
  <c r="M438" i="10"/>
  <c r="G439" i="10"/>
  <c r="H439" i="10" s="1"/>
  <c r="M439" i="10"/>
  <c r="G440" i="10"/>
  <c r="H440" i="10"/>
  <c r="I440" i="10"/>
  <c r="M440" i="10"/>
  <c r="G441" i="10"/>
  <c r="H441" i="10" s="1"/>
  <c r="I441" i="10"/>
  <c r="M441" i="10"/>
  <c r="G442" i="10"/>
  <c r="H442" i="10"/>
  <c r="I442" i="10"/>
  <c r="M442" i="10"/>
  <c r="G443" i="10"/>
  <c r="H443" i="10" s="1"/>
  <c r="I443" i="10"/>
  <c r="M443" i="10"/>
  <c r="G444" i="10"/>
  <c r="H444" i="10"/>
  <c r="I444" i="10"/>
  <c r="M444" i="10"/>
  <c r="G445" i="10"/>
  <c r="H445" i="10" s="1"/>
  <c r="M445" i="10"/>
  <c r="G446" i="10"/>
  <c r="H446" i="10"/>
  <c r="I446" i="10"/>
  <c r="M446" i="10"/>
  <c r="G447" i="10"/>
  <c r="H447" i="10" s="1"/>
  <c r="I447" i="10"/>
  <c r="M447" i="10"/>
  <c r="G448" i="10"/>
  <c r="H448" i="10"/>
  <c r="I448" i="10"/>
  <c r="M448" i="10"/>
  <c r="G449" i="10"/>
  <c r="H449" i="10" s="1"/>
  <c r="M449" i="10"/>
  <c r="G450" i="10"/>
  <c r="H450" i="10"/>
  <c r="I450" i="10"/>
  <c r="M450" i="10"/>
  <c r="G451" i="10"/>
  <c r="H451" i="10" s="1"/>
  <c r="M451" i="10"/>
  <c r="G452" i="10"/>
  <c r="H452" i="10"/>
  <c r="I452" i="10"/>
  <c r="M452" i="10"/>
  <c r="G453" i="10"/>
  <c r="H453" i="10" s="1"/>
  <c r="I453" i="10"/>
  <c r="M453" i="10"/>
  <c r="G454" i="10"/>
  <c r="H454" i="10"/>
  <c r="I454" i="10"/>
  <c r="M454" i="10"/>
  <c r="G455" i="10"/>
  <c r="H455" i="10" s="1"/>
  <c r="M455" i="10"/>
  <c r="G456" i="10"/>
  <c r="H456" i="10"/>
  <c r="I456" i="10"/>
  <c r="M456" i="10"/>
  <c r="G457" i="10"/>
  <c r="H457" i="10" s="1"/>
  <c r="I457" i="10"/>
  <c r="M457" i="10"/>
  <c r="G458" i="10"/>
  <c r="H458" i="10"/>
  <c r="I458" i="10"/>
  <c r="M458" i="10"/>
  <c r="G459" i="10"/>
  <c r="H459" i="10" s="1"/>
  <c r="I459" i="10"/>
  <c r="M459" i="10"/>
  <c r="G460" i="10"/>
  <c r="H460" i="10"/>
  <c r="I460" i="10"/>
  <c r="M460" i="10"/>
  <c r="G461" i="10"/>
  <c r="H461" i="10" s="1"/>
  <c r="M461" i="10"/>
  <c r="G462" i="10"/>
  <c r="H462" i="10"/>
  <c r="I462" i="10"/>
  <c r="M462" i="10"/>
  <c r="G463" i="10"/>
  <c r="H463" i="10" s="1"/>
  <c r="I463" i="10"/>
  <c r="M463" i="10"/>
  <c r="G464" i="10"/>
  <c r="H464" i="10"/>
  <c r="I464" i="10"/>
  <c r="M464" i="10"/>
  <c r="G465" i="10"/>
  <c r="H465" i="10" s="1"/>
  <c r="M465" i="10"/>
  <c r="G466" i="10"/>
  <c r="H466" i="10"/>
  <c r="I466" i="10"/>
  <c r="M466" i="10"/>
  <c r="G467" i="10"/>
  <c r="H467" i="10" s="1"/>
  <c r="M467" i="10"/>
  <c r="G468" i="10"/>
  <c r="H468" i="10"/>
  <c r="I468" i="10"/>
  <c r="M468" i="10"/>
  <c r="G469" i="10"/>
  <c r="H469" i="10" s="1"/>
  <c r="I469" i="10"/>
  <c r="M469" i="10"/>
  <c r="G470" i="10"/>
  <c r="H470" i="10"/>
  <c r="I470" i="10"/>
  <c r="M470" i="10"/>
  <c r="G471" i="10"/>
  <c r="H471" i="10" s="1"/>
  <c r="M471" i="10"/>
  <c r="G472" i="10"/>
  <c r="H472" i="10"/>
  <c r="I472" i="10"/>
  <c r="M472" i="10"/>
  <c r="G473" i="10"/>
  <c r="H473" i="10" s="1"/>
  <c r="I473" i="10"/>
  <c r="M473" i="10"/>
  <c r="G474" i="10"/>
  <c r="H474" i="10"/>
  <c r="I474" i="10"/>
  <c r="M474" i="10"/>
  <c r="G475" i="10"/>
  <c r="H475" i="10" s="1"/>
  <c r="I475" i="10"/>
  <c r="M475" i="10"/>
  <c r="G476" i="10"/>
  <c r="H476" i="10"/>
  <c r="I476" i="10"/>
  <c r="M476" i="10"/>
  <c r="G477" i="10"/>
  <c r="H477" i="10" s="1"/>
  <c r="M477" i="10"/>
  <c r="G478" i="10"/>
  <c r="H478" i="10"/>
  <c r="I478" i="10"/>
  <c r="M478" i="10"/>
  <c r="G479" i="10"/>
  <c r="H479" i="10" s="1"/>
  <c r="I479" i="10"/>
  <c r="M479" i="10"/>
  <c r="G480" i="10"/>
  <c r="H480" i="10"/>
  <c r="I480" i="10"/>
  <c r="M480" i="10"/>
  <c r="G481" i="10"/>
  <c r="H481" i="10" s="1"/>
  <c r="M481" i="10"/>
  <c r="G482" i="10"/>
  <c r="H482" i="10"/>
  <c r="I482" i="10"/>
  <c r="M482" i="10"/>
  <c r="G483" i="10"/>
  <c r="H483" i="10" s="1"/>
  <c r="M483" i="10"/>
  <c r="G484" i="10"/>
  <c r="H484" i="10"/>
  <c r="I484" i="10"/>
  <c r="M484" i="10"/>
  <c r="G485" i="10"/>
  <c r="H485" i="10" s="1"/>
  <c r="I485" i="10"/>
  <c r="M485" i="10"/>
  <c r="G486" i="10"/>
  <c r="H486" i="10"/>
  <c r="I486" i="10"/>
  <c r="M486" i="10"/>
  <c r="G487" i="10"/>
  <c r="H487" i="10" s="1"/>
  <c r="M487" i="10"/>
  <c r="G488" i="10"/>
  <c r="H488" i="10"/>
  <c r="I488" i="10"/>
  <c r="M488" i="10"/>
  <c r="G489" i="10"/>
  <c r="H489" i="10" s="1"/>
  <c r="I489" i="10"/>
  <c r="M489" i="10"/>
  <c r="G490" i="10"/>
  <c r="H490" i="10"/>
  <c r="I490" i="10"/>
  <c r="M490" i="10"/>
  <c r="G491" i="10"/>
  <c r="H491" i="10" s="1"/>
  <c r="I491" i="10"/>
  <c r="M491" i="10"/>
  <c r="G492" i="10"/>
  <c r="H492" i="10"/>
  <c r="I492" i="10"/>
  <c r="M492" i="10"/>
  <c r="G493" i="10"/>
  <c r="H493" i="10" s="1"/>
  <c r="M493" i="10"/>
  <c r="G494" i="10"/>
  <c r="H494" i="10"/>
  <c r="I494" i="10"/>
  <c r="M494" i="10"/>
  <c r="G495" i="10"/>
  <c r="H495" i="10" s="1"/>
  <c r="I495" i="10"/>
  <c r="M495" i="10"/>
  <c r="G496" i="10"/>
  <c r="H496" i="10"/>
  <c r="I496" i="10"/>
  <c r="M496" i="10"/>
  <c r="G497" i="10"/>
  <c r="H497" i="10" s="1"/>
  <c r="M497" i="10"/>
  <c r="G498" i="10"/>
  <c r="H498" i="10"/>
  <c r="I498" i="10"/>
  <c r="M498" i="10"/>
  <c r="G499" i="10"/>
  <c r="H499" i="10" s="1"/>
  <c r="M499" i="10"/>
  <c r="G500" i="10"/>
  <c r="H500" i="10"/>
  <c r="I500" i="10"/>
  <c r="M500" i="10"/>
  <c r="G501" i="10"/>
  <c r="H501" i="10" s="1"/>
  <c r="I501" i="10"/>
  <c r="M501" i="10"/>
  <c r="G502" i="10"/>
  <c r="H502" i="10"/>
  <c r="I502" i="10"/>
  <c r="M502" i="10"/>
  <c r="G503" i="10"/>
  <c r="H503" i="10" s="1"/>
  <c r="M503" i="10"/>
  <c r="G504" i="10"/>
  <c r="H504" i="10"/>
  <c r="I504" i="10"/>
  <c r="M504" i="10"/>
  <c r="G505" i="10"/>
  <c r="H505" i="10" s="1"/>
  <c r="I505" i="10"/>
  <c r="M505" i="10"/>
  <c r="G506" i="10"/>
  <c r="H506" i="10"/>
  <c r="I506" i="10"/>
  <c r="M506" i="10"/>
  <c r="G507" i="10"/>
  <c r="H507" i="10" s="1"/>
  <c r="I507" i="10"/>
  <c r="M507" i="10"/>
  <c r="G508" i="10"/>
  <c r="H508" i="10"/>
  <c r="I508" i="10"/>
  <c r="M508" i="10"/>
  <c r="G509" i="10"/>
  <c r="H509" i="10" s="1"/>
  <c r="M509" i="10"/>
  <c r="G510" i="10"/>
  <c r="H510" i="10"/>
  <c r="I510" i="10"/>
  <c r="M510" i="10"/>
  <c r="G511" i="10"/>
  <c r="H511" i="10" s="1"/>
  <c r="I511" i="10"/>
  <c r="M511" i="10"/>
  <c r="G512" i="10"/>
  <c r="H512" i="10"/>
  <c r="I512" i="10"/>
  <c r="M512" i="10"/>
  <c r="G513" i="10"/>
  <c r="H513" i="10" s="1"/>
  <c r="M513" i="10"/>
  <c r="G514" i="10"/>
  <c r="H514" i="10"/>
  <c r="I514" i="10"/>
  <c r="M514" i="10"/>
  <c r="G515" i="10"/>
  <c r="H515" i="10" s="1"/>
  <c r="M515" i="10"/>
  <c r="G516" i="10"/>
  <c r="H516" i="10"/>
  <c r="I516" i="10"/>
  <c r="M516" i="10"/>
  <c r="G517" i="10"/>
  <c r="H517" i="10" s="1"/>
  <c r="I517" i="10"/>
  <c r="M517" i="10"/>
  <c r="G518" i="10"/>
  <c r="H518" i="10"/>
  <c r="I518" i="10"/>
  <c r="M518" i="10"/>
  <c r="G519" i="10"/>
  <c r="H519" i="10" s="1"/>
  <c r="M519" i="10"/>
  <c r="G520" i="10"/>
  <c r="H520" i="10"/>
  <c r="I520" i="10"/>
  <c r="M520" i="10"/>
  <c r="G521" i="10"/>
  <c r="H521" i="10" s="1"/>
  <c r="I521" i="10"/>
  <c r="M521" i="10"/>
  <c r="G522" i="10"/>
  <c r="H522" i="10"/>
  <c r="I522" i="10"/>
  <c r="M522" i="10"/>
  <c r="G523" i="10"/>
  <c r="H523" i="10" s="1"/>
  <c r="I523" i="10"/>
  <c r="M523" i="10"/>
  <c r="G524" i="10"/>
  <c r="H524" i="10"/>
  <c r="I524" i="10"/>
  <c r="M524" i="10"/>
  <c r="G525" i="10"/>
  <c r="H525" i="10" s="1"/>
  <c r="M525" i="10"/>
  <c r="G526" i="10"/>
  <c r="H526" i="10"/>
  <c r="I526" i="10"/>
  <c r="M526" i="10"/>
  <c r="G527" i="10"/>
  <c r="H527" i="10" s="1"/>
  <c r="I527" i="10"/>
  <c r="M527" i="10"/>
  <c r="G528" i="10"/>
  <c r="H528" i="10"/>
  <c r="I528" i="10"/>
  <c r="M528" i="10"/>
  <c r="G529" i="10"/>
  <c r="H529" i="10" s="1"/>
  <c r="M529" i="10"/>
  <c r="G530" i="10"/>
  <c r="H530" i="10"/>
  <c r="I530" i="10"/>
  <c r="M530" i="10"/>
  <c r="G531" i="10"/>
  <c r="H531" i="10" s="1"/>
  <c r="M531" i="10"/>
  <c r="G532" i="10"/>
  <c r="H532" i="10"/>
  <c r="I532" i="10"/>
  <c r="M532" i="10"/>
  <c r="G533" i="10"/>
  <c r="H533" i="10" s="1"/>
  <c r="I533" i="10"/>
  <c r="M533" i="10"/>
  <c r="G534" i="10"/>
  <c r="H534" i="10"/>
  <c r="I534" i="10"/>
  <c r="M534" i="10"/>
  <c r="G535" i="10"/>
  <c r="H535" i="10" s="1"/>
  <c r="M535" i="10"/>
  <c r="G536" i="10"/>
  <c r="H536" i="10"/>
  <c r="I536" i="10"/>
  <c r="M536" i="10"/>
  <c r="G537" i="10"/>
  <c r="H537" i="10" s="1"/>
  <c r="I537" i="10"/>
  <c r="M537" i="10"/>
  <c r="G538" i="10"/>
  <c r="H538" i="10"/>
  <c r="I538" i="10"/>
  <c r="M538" i="10"/>
  <c r="G539" i="10"/>
  <c r="H539" i="10" s="1"/>
  <c r="I539" i="10"/>
  <c r="M539" i="10"/>
  <c r="G540" i="10"/>
  <c r="H540" i="10"/>
  <c r="I540" i="10"/>
  <c r="M540" i="10"/>
  <c r="G541" i="10"/>
  <c r="H541" i="10" s="1"/>
  <c r="M541" i="10"/>
  <c r="G542" i="10"/>
  <c r="H542" i="10"/>
  <c r="I542" i="10"/>
  <c r="M542" i="10"/>
  <c r="G543" i="10"/>
  <c r="H543" i="10" s="1"/>
  <c r="I543" i="10"/>
  <c r="M543" i="10"/>
  <c r="G544" i="10"/>
  <c r="H544" i="10"/>
  <c r="I544" i="10"/>
  <c r="M544" i="10"/>
  <c r="G545" i="10"/>
  <c r="H545" i="10" s="1"/>
  <c r="M545" i="10"/>
  <c r="G546" i="10"/>
  <c r="H546" i="10"/>
  <c r="I546" i="10"/>
  <c r="M546" i="10"/>
  <c r="G547" i="10"/>
  <c r="H547" i="10" s="1"/>
  <c r="M547" i="10"/>
  <c r="G548" i="10"/>
  <c r="H548" i="10"/>
  <c r="I548" i="10"/>
  <c r="M548" i="10"/>
  <c r="G549" i="10"/>
  <c r="H549" i="10" s="1"/>
  <c r="I549" i="10"/>
  <c r="M549" i="10"/>
  <c r="G550" i="10"/>
  <c r="H550" i="10"/>
  <c r="I550" i="10"/>
  <c r="M550" i="10"/>
  <c r="G551" i="10"/>
  <c r="H551" i="10" s="1"/>
  <c r="M551" i="10"/>
  <c r="G552" i="10"/>
  <c r="H552" i="10"/>
  <c r="I552" i="10"/>
  <c r="M552" i="10"/>
  <c r="G553" i="10"/>
  <c r="H553" i="10" s="1"/>
  <c r="I553" i="10"/>
  <c r="M553" i="10"/>
  <c r="G554" i="10"/>
  <c r="H554" i="10"/>
  <c r="I554" i="10"/>
  <c r="M554" i="10"/>
  <c r="G555" i="10"/>
  <c r="H555" i="10" s="1"/>
  <c r="I555" i="10"/>
  <c r="M555" i="10"/>
  <c r="G556" i="10"/>
  <c r="H556" i="10"/>
  <c r="I556" i="10"/>
  <c r="M556" i="10"/>
  <c r="G557" i="10"/>
  <c r="H557" i="10" s="1"/>
  <c r="M557" i="10"/>
  <c r="G558" i="10"/>
  <c r="H558" i="10"/>
  <c r="I558" i="10"/>
  <c r="M558" i="10"/>
  <c r="G559" i="10"/>
  <c r="H559" i="10" s="1"/>
  <c r="I559" i="10"/>
  <c r="M559" i="10"/>
  <c r="G560" i="10"/>
  <c r="H560" i="10"/>
  <c r="I560" i="10"/>
  <c r="M560" i="10"/>
  <c r="G561" i="10"/>
  <c r="H561" i="10" s="1"/>
  <c r="M561" i="10"/>
  <c r="G562" i="10"/>
  <c r="H562" i="10"/>
  <c r="I562" i="10"/>
  <c r="M562" i="10"/>
  <c r="G563" i="10"/>
  <c r="H563" i="10" s="1"/>
  <c r="M563" i="10"/>
  <c r="G564" i="10"/>
  <c r="H564" i="10"/>
  <c r="I564" i="10"/>
  <c r="M564" i="10"/>
  <c r="G565" i="10"/>
  <c r="H565" i="10" s="1"/>
  <c r="I565" i="10"/>
  <c r="M565" i="10"/>
  <c r="G566" i="10"/>
  <c r="H566" i="10"/>
  <c r="I566" i="10"/>
  <c r="M566" i="10"/>
  <c r="G567" i="10"/>
  <c r="H567" i="10" s="1"/>
  <c r="M567" i="10"/>
  <c r="G568" i="10"/>
  <c r="H568" i="10"/>
  <c r="I568" i="10"/>
  <c r="M568" i="10"/>
  <c r="G569" i="10"/>
  <c r="H569" i="10" s="1"/>
  <c r="I569" i="10"/>
  <c r="M569" i="10"/>
  <c r="G570" i="10"/>
  <c r="H570" i="10"/>
  <c r="I570" i="10"/>
  <c r="M570" i="10"/>
  <c r="G571" i="10"/>
  <c r="H571" i="10" s="1"/>
  <c r="I571" i="10"/>
  <c r="M571" i="10"/>
  <c r="G572" i="10"/>
  <c r="H572" i="10"/>
  <c r="I572" i="10"/>
  <c r="M572" i="10"/>
  <c r="G573" i="10"/>
  <c r="H573" i="10" s="1"/>
  <c r="M573" i="10"/>
  <c r="G574" i="10"/>
  <c r="H574" i="10"/>
  <c r="I574" i="10"/>
  <c r="M574" i="10"/>
  <c r="G575" i="10"/>
  <c r="H575" i="10" s="1"/>
  <c r="I575" i="10"/>
  <c r="M575" i="10"/>
  <c r="G576" i="10"/>
  <c r="H576" i="10"/>
  <c r="I576" i="10"/>
  <c r="M576" i="10"/>
  <c r="G577" i="10"/>
  <c r="H577" i="10" s="1"/>
  <c r="I577" i="10"/>
  <c r="M577" i="10"/>
  <c r="G578" i="10"/>
  <c r="H578" i="10"/>
  <c r="I578" i="10"/>
  <c r="M578" i="10"/>
  <c r="G579" i="10"/>
  <c r="H579" i="10" s="1"/>
  <c r="M579" i="10"/>
  <c r="G580" i="10"/>
  <c r="H580" i="10"/>
  <c r="I580" i="10"/>
  <c r="M580" i="10"/>
  <c r="G581" i="10"/>
  <c r="H581" i="10" s="1"/>
  <c r="I581" i="10"/>
  <c r="M581" i="10"/>
  <c r="G582" i="10"/>
  <c r="H582" i="10"/>
  <c r="I582" i="10"/>
  <c r="M582" i="10"/>
  <c r="G583" i="10"/>
  <c r="H583" i="10" s="1"/>
  <c r="M583" i="10"/>
  <c r="G584" i="10"/>
  <c r="H584" i="10"/>
  <c r="I584" i="10"/>
  <c r="M584" i="10"/>
  <c r="G585" i="10"/>
  <c r="H585" i="10" s="1"/>
  <c r="I585" i="10"/>
  <c r="M585" i="10"/>
  <c r="G586" i="10"/>
  <c r="H586" i="10"/>
  <c r="I586" i="10"/>
  <c r="M586" i="10"/>
  <c r="G587" i="10"/>
  <c r="H587" i="10" s="1"/>
  <c r="I587" i="10"/>
  <c r="M587" i="10"/>
  <c r="G588" i="10"/>
  <c r="H588" i="10"/>
  <c r="I588" i="10"/>
  <c r="M588" i="10"/>
  <c r="G589" i="10"/>
  <c r="H589" i="10" s="1"/>
  <c r="M589" i="10"/>
  <c r="G590" i="10"/>
  <c r="H590" i="10"/>
  <c r="I590" i="10"/>
  <c r="M590" i="10"/>
  <c r="G591" i="10"/>
  <c r="H591" i="10" s="1"/>
  <c r="I591" i="10"/>
  <c r="M591" i="10"/>
  <c r="G592" i="10"/>
  <c r="H592" i="10"/>
  <c r="I592" i="10"/>
  <c r="M592" i="10"/>
  <c r="G593" i="10"/>
  <c r="H593" i="10" s="1"/>
  <c r="I593" i="10"/>
  <c r="M593" i="10"/>
  <c r="G594" i="10"/>
  <c r="H594" i="10"/>
  <c r="I594" i="10"/>
  <c r="M594" i="10"/>
  <c r="G595" i="10"/>
  <c r="H595" i="10" s="1"/>
  <c r="M595" i="10"/>
  <c r="G596" i="10"/>
  <c r="H596" i="10"/>
  <c r="I596" i="10"/>
  <c r="M596" i="10"/>
  <c r="G597" i="10"/>
  <c r="H597" i="10" s="1"/>
  <c r="I597" i="10"/>
  <c r="M597" i="10"/>
  <c r="G598" i="10"/>
  <c r="H598" i="10"/>
  <c r="I598" i="10"/>
  <c r="M598" i="10"/>
  <c r="G599" i="10"/>
  <c r="H599" i="10" s="1"/>
  <c r="M599" i="10"/>
  <c r="G600" i="10"/>
  <c r="H600" i="10"/>
  <c r="I600" i="10"/>
  <c r="M600" i="10"/>
  <c r="G601" i="10"/>
  <c r="H601" i="10" s="1"/>
  <c r="I601" i="10"/>
  <c r="M601" i="10"/>
  <c r="G602" i="10"/>
  <c r="H602" i="10"/>
  <c r="I602" i="10"/>
  <c r="M602" i="10"/>
  <c r="G603" i="10"/>
  <c r="H603" i="10" s="1"/>
  <c r="I603" i="10"/>
  <c r="M603" i="10"/>
  <c r="G604" i="10"/>
  <c r="H604" i="10"/>
  <c r="I604" i="10"/>
  <c r="M604" i="10"/>
  <c r="G605" i="10"/>
  <c r="H605" i="10" s="1"/>
  <c r="M605" i="10"/>
  <c r="G606" i="10"/>
  <c r="H606" i="10"/>
  <c r="I606" i="10"/>
  <c r="M606" i="10"/>
  <c r="G607" i="10"/>
  <c r="H607" i="10" s="1"/>
  <c r="I607" i="10"/>
  <c r="M607" i="10"/>
  <c r="G608" i="10"/>
  <c r="H608" i="10"/>
  <c r="I608" i="10"/>
  <c r="M608" i="10"/>
  <c r="G609" i="10"/>
  <c r="H609" i="10" s="1"/>
  <c r="I609" i="10"/>
  <c r="M609" i="10"/>
  <c r="G610" i="10"/>
  <c r="H610" i="10"/>
  <c r="I610" i="10"/>
  <c r="M610" i="10"/>
  <c r="G611" i="10"/>
  <c r="H611" i="10" s="1"/>
  <c r="M611" i="10"/>
  <c r="G612" i="10"/>
  <c r="H612" i="10"/>
  <c r="I612" i="10"/>
  <c r="M612" i="10"/>
  <c r="G613" i="10"/>
  <c r="H613" i="10" s="1"/>
  <c r="I613" i="10"/>
  <c r="M613" i="10"/>
  <c r="G614" i="10"/>
  <c r="H614" i="10"/>
  <c r="I614" i="10"/>
  <c r="M614" i="10"/>
  <c r="G615" i="10"/>
  <c r="H615" i="10" s="1"/>
  <c r="M615" i="10"/>
  <c r="G616" i="10"/>
  <c r="H616" i="10"/>
  <c r="I616" i="10"/>
  <c r="M616" i="10"/>
  <c r="G617" i="10"/>
  <c r="H617" i="10" s="1"/>
  <c r="I617" i="10"/>
  <c r="M617" i="10"/>
  <c r="G618" i="10"/>
  <c r="H618" i="10"/>
  <c r="I618" i="10"/>
  <c r="M618" i="10"/>
  <c r="G619" i="10"/>
  <c r="H619" i="10" s="1"/>
  <c r="I619" i="10"/>
  <c r="M619" i="10"/>
  <c r="G620" i="10"/>
  <c r="H620" i="10"/>
  <c r="I620" i="10"/>
  <c r="M620" i="10"/>
  <c r="G621" i="10"/>
  <c r="H621" i="10" s="1"/>
  <c r="M621" i="10"/>
  <c r="G622" i="10"/>
  <c r="H622" i="10"/>
  <c r="I622" i="10"/>
  <c r="M622" i="10"/>
  <c r="G623" i="10"/>
  <c r="I623" i="10" s="1"/>
  <c r="H623" i="10"/>
  <c r="M623" i="10"/>
  <c r="G624" i="10"/>
  <c r="H624" i="10"/>
  <c r="I624" i="10"/>
  <c r="M624" i="10"/>
  <c r="G625" i="10"/>
  <c r="I625" i="10" s="1"/>
  <c r="H625" i="10"/>
  <c r="M625" i="10"/>
  <c r="G626" i="10"/>
  <c r="H626" i="10"/>
  <c r="I626" i="10"/>
  <c r="M626" i="10"/>
  <c r="G627" i="10"/>
  <c r="I627" i="10" s="1"/>
  <c r="H627" i="10"/>
  <c r="M627" i="10"/>
  <c r="G628" i="10"/>
  <c r="H628" i="10"/>
  <c r="I628" i="10"/>
  <c r="M628" i="10"/>
  <c r="G629" i="10"/>
  <c r="I629" i="10" s="1"/>
  <c r="H629" i="10"/>
  <c r="M629" i="10"/>
  <c r="G630" i="10"/>
  <c r="H630" i="10"/>
  <c r="I630" i="10"/>
  <c r="M630" i="10"/>
  <c r="G631" i="10"/>
  <c r="I631" i="10" s="1"/>
  <c r="H631" i="10"/>
  <c r="M631" i="10"/>
  <c r="G632" i="10"/>
  <c r="H632" i="10"/>
  <c r="I632" i="10"/>
  <c r="M632" i="10"/>
  <c r="G633" i="10"/>
  <c r="I633" i="10" s="1"/>
  <c r="H633" i="10"/>
  <c r="M633" i="10"/>
  <c r="G634" i="10"/>
  <c r="H634" i="10"/>
  <c r="I634" i="10"/>
  <c r="M634" i="10"/>
  <c r="G635" i="10"/>
  <c r="I635" i="10" s="1"/>
  <c r="H635" i="10"/>
  <c r="M635" i="10"/>
  <c r="G636" i="10"/>
  <c r="H636" i="10"/>
  <c r="I636" i="10"/>
  <c r="M636" i="10"/>
  <c r="G637" i="10"/>
  <c r="I637" i="10" s="1"/>
  <c r="H637" i="10"/>
  <c r="M637" i="10"/>
  <c r="G638" i="10"/>
  <c r="H638" i="10"/>
  <c r="I638" i="10"/>
  <c r="M638" i="10"/>
  <c r="G639" i="10"/>
  <c r="I639" i="10" s="1"/>
  <c r="H639" i="10"/>
  <c r="M639" i="10"/>
  <c r="G640" i="10"/>
  <c r="H640" i="10"/>
  <c r="I640" i="10"/>
  <c r="M640" i="10"/>
  <c r="G641" i="10"/>
  <c r="I641" i="10" s="1"/>
  <c r="H641" i="10"/>
  <c r="M641" i="10"/>
  <c r="G642" i="10"/>
  <c r="H642" i="10"/>
  <c r="I642" i="10"/>
  <c r="M642" i="10"/>
  <c r="G643" i="10"/>
  <c r="I643" i="10" s="1"/>
  <c r="H643" i="10"/>
  <c r="M643" i="10"/>
  <c r="G644" i="10"/>
  <c r="H644" i="10"/>
  <c r="I644" i="10"/>
  <c r="M644" i="10"/>
  <c r="G645" i="10"/>
  <c r="I645" i="10" s="1"/>
  <c r="H645" i="10"/>
  <c r="M645" i="10"/>
  <c r="G646" i="10"/>
  <c r="H646" i="10"/>
  <c r="I646" i="10"/>
  <c r="M646" i="10"/>
  <c r="G647" i="10"/>
  <c r="I647" i="10" s="1"/>
  <c r="H647" i="10"/>
  <c r="M647" i="10"/>
  <c r="G648" i="10"/>
  <c r="H648" i="10"/>
  <c r="I648" i="10"/>
  <c r="M648" i="10"/>
  <c r="G649" i="10"/>
  <c r="I649" i="10" s="1"/>
  <c r="H649" i="10"/>
  <c r="M649" i="10"/>
  <c r="G650" i="10"/>
  <c r="H650" i="10"/>
  <c r="I650" i="10"/>
  <c r="M650" i="10"/>
  <c r="G651" i="10"/>
  <c r="I651" i="10" s="1"/>
  <c r="H651" i="10"/>
  <c r="M651" i="10"/>
  <c r="G652" i="10"/>
  <c r="H652" i="10"/>
  <c r="I652" i="10"/>
  <c r="M652" i="10"/>
  <c r="G653" i="10"/>
  <c r="I653" i="10" s="1"/>
  <c r="H653" i="10"/>
  <c r="M653" i="10"/>
  <c r="G654" i="10"/>
  <c r="H654" i="10"/>
  <c r="I654" i="10"/>
  <c r="M654" i="10"/>
  <c r="G655" i="10"/>
  <c r="I655" i="10" s="1"/>
  <c r="H655" i="10"/>
  <c r="M655" i="10"/>
  <c r="G656" i="10"/>
  <c r="H656" i="10"/>
  <c r="I656" i="10"/>
  <c r="M656" i="10"/>
  <c r="G657" i="10"/>
  <c r="I657" i="10" s="1"/>
  <c r="H657" i="10"/>
  <c r="M657" i="10"/>
  <c r="G658" i="10"/>
  <c r="H658" i="10"/>
  <c r="I658" i="10"/>
  <c r="M658" i="10"/>
  <c r="G659" i="10"/>
  <c r="I659" i="10" s="1"/>
  <c r="H659" i="10"/>
  <c r="M659" i="10"/>
  <c r="G660" i="10"/>
  <c r="H660" i="10"/>
  <c r="I660" i="10"/>
  <c r="M660" i="10"/>
  <c r="G661" i="10"/>
  <c r="I661" i="10" s="1"/>
  <c r="H661" i="10"/>
  <c r="M661" i="10"/>
  <c r="G662" i="10"/>
  <c r="H662" i="10"/>
  <c r="I662" i="10"/>
  <c r="M662" i="10"/>
  <c r="G663" i="10"/>
  <c r="I663" i="10" s="1"/>
  <c r="H663" i="10"/>
  <c r="M663" i="10"/>
  <c r="G664" i="10"/>
  <c r="H664" i="10"/>
  <c r="I664" i="10"/>
  <c r="M664" i="10"/>
  <c r="G665" i="10"/>
  <c r="I665" i="10" s="1"/>
  <c r="H665" i="10"/>
  <c r="M665" i="10"/>
  <c r="G666" i="10"/>
  <c r="H666" i="10"/>
  <c r="I666" i="10"/>
  <c r="M666" i="10"/>
  <c r="G667" i="10"/>
  <c r="I667" i="10" s="1"/>
  <c r="H667" i="10"/>
  <c r="M667" i="10"/>
  <c r="G668" i="10"/>
  <c r="H668" i="10"/>
  <c r="I668" i="10"/>
  <c r="M668" i="10"/>
  <c r="G669" i="10"/>
  <c r="I669" i="10" s="1"/>
  <c r="H669" i="10"/>
  <c r="M669" i="10"/>
  <c r="G670" i="10"/>
  <c r="H670" i="10"/>
  <c r="I670" i="10"/>
  <c r="M670" i="10"/>
  <c r="G671" i="10"/>
  <c r="I671" i="10" s="1"/>
  <c r="H671" i="10"/>
  <c r="M671" i="10"/>
  <c r="G672" i="10"/>
  <c r="H672" i="10"/>
  <c r="I672" i="10"/>
  <c r="M672" i="10"/>
  <c r="G673" i="10"/>
  <c r="I673" i="10" s="1"/>
  <c r="H673" i="10"/>
  <c r="M673" i="10"/>
  <c r="G674" i="10"/>
  <c r="H674" i="10"/>
  <c r="I674" i="10"/>
  <c r="M674" i="10"/>
  <c r="G675" i="10"/>
  <c r="I675" i="10" s="1"/>
  <c r="H675" i="10"/>
  <c r="M675" i="10"/>
  <c r="G676" i="10"/>
  <c r="H676" i="10"/>
  <c r="I676" i="10"/>
  <c r="M676" i="10"/>
  <c r="G677" i="10"/>
  <c r="I677" i="10" s="1"/>
  <c r="H677" i="10"/>
  <c r="M677" i="10"/>
  <c r="G678" i="10"/>
  <c r="H678" i="10"/>
  <c r="I678" i="10"/>
  <c r="M678" i="10"/>
  <c r="G679" i="10"/>
  <c r="I679" i="10" s="1"/>
  <c r="H679" i="10"/>
  <c r="M679" i="10"/>
  <c r="G680" i="10"/>
  <c r="H680" i="10"/>
  <c r="I680" i="10"/>
  <c r="M680" i="10"/>
  <c r="G681" i="10"/>
  <c r="I681" i="10" s="1"/>
  <c r="H681" i="10"/>
  <c r="M681" i="10"/>
  <c r="G682" i="10"/>
  <c r="H682" i="10"/>
  <c r="I682" i="10"/>
  <c r="M682" i="10"/>
  <c r="G683" i="10"/>
  <c r="I683" i="10" s="1"/>
  <c r="H683" i="10"/>
  <c r="M683" i="10"/>
  <c r="G684" i="10"/>
  <c r="H684" i="10"/>
  <c r="I684" i="10"/>
  <c r="M684" i="10"/>
  <c r="G685" i="10"/>
  <c r="I685" i="10" s="1"/>
  <c r="H685" i="10"/>
  <c r="M685" i="10"/>
  <c r="G686" i="10"/>
  <c r="H686" i="10"/>
  <c r="I686" i="10"/>
  <c r="M686" i="10"/>
  <c r="G687" i="10"/>
  <c r="I687" i="10" s="1"/>
  <c r="H687" i="10"/>
  <c r="M687" i="10"/>
  <c r="G688" i="10"/>
  <c r="H688" i="10"/>
  <c r="I688" i="10"/>
  <c r="M688" i="10"/>
  <c r="G689" i="10"/>
  <c r="I689" i="10" s="1"/>
  <c r="H689" i="10"/>
  <c r="M689" i="10"/>
  <c r="G690" i="10"/>
  <c r="H690" i="10"/>
  <c r="I690" i="10"/>
  <c r="M690" i="10"/>
  <c r="G691" i="10"/>
  <c r="I691" i="10" s="1"/>
  <c r="H691" i="10"/>
  <c r="M691" i="10"/>
  <c r="G692" i="10"/>
  <c r="H692" i="10"/>
  <c r="I692" i="10"/>
  <c r="M692" i="10"/>
  <c r="G693" i="10"/>
  <c r="I693" i="10" s="1"/>
  <c r="H693" i="10"/>
  <c r="M693" i="10"/>
  <c r="G694" i="10"/>
  <c r="H694" i="10"/>
  <c r="I694" i="10"/>
  <c r="M694" i="10"/>
  <c r="G695" i="10"/>
  <c r="I695" i="10" s="1"/>
  <c r="H695" i="10"/>
  <c r="M695" i="10"/>
  <c r="G696" i="10"/>
  <c r="H696" i="10"/>
  <c r="I696" i="10"/>
  <c r="M696" i="10"/>
  <c r="G697" i="10"/>
  <c r="I697" i="10" s="1"/>
  <c r="H697" i="10"/>
  <c r="M697" i="10"/>
  <c r="G698" i="10"/>
  <c r="H698" i="10"/>
  <c r="I698" i="10"/>
  <c r="M698" i="10"/>
  <c r="G699" i="10"/>
  <c r="I699" i="10" s="1"/>
  <c r="H699" i="10"/>
  <c r="M699" i="10"/>
  <c r="G700" i="10"/>
  <c r="H700" i="10"/>
  <c r="I700" i="10"/>
  <c r="M700" i="10"/>
  <c r="G701" i="10"/>
  <c r="I701" i="10" s="1"/>
  <c r="H701" i="10"/>
  <c r="M701" i="10"/>
  <c r="G702" i="10"/>
  <c r="H702" i="10"/>
  <c r="I702" i="10"/>
  <c r="M702" i="10"/>
  <c r="G703" i="10"/>
  <c r="I703" i="10" s="1"/>
  <c r="H703" i="10"/>
  <c r="M703" i="10"/>
  <c r="G704" i="10"/>
  <c r="H704" i="10"/>
  <c r="I704" i="10"/>
  <c r="M704" i="10"/>
  <c r="G705" i="10"/>
  <c r="I705" i="10" s="1"/>
  <c r="H705" i="10"/>
  <c r="M705" i="10"/>
  <c r="G706" i="10"/>
  <c r="H706" i="10"/>
  <c r="I706" i="10"/>
  <c r="M706" i="10"/>
  <c r="G707" i="10"/>
  <c r="I707" i="10" s="1"/>
  <c r="H707" i="10"/>
  <c r="M707" i="10"/>
  <c r="G708" i="10"/>
  <c r="H708" i="10"/>
  <c r="I708" i="10"/>
  <c r="M708" i="10"/>
  <c r="G709" i="10"/>
  <c r="I709" i="10" s="1"/>
  <c r="H709" i="10"/>
  <c r="M709" i="10"/>
  <c r="G710" i="10"/>
  <c r="H710" i="10"/>
  <c r="I710" i="10"/>
  <c r="M710" i="10"/>
  <c r="G711" i="10"/>
  <c r="I711" i="10" s="1"/>
  <c r="H711" i="10"/>
  <c r="M711" i="10"/>
  <c r="G712" i="10"/>
  <c r="H712" i="10"/>
  <c r="I712" i="10"/>
  <c r="M712" i="10"/>
  <c r="G713" i="10"/>
  <c r="I713" i="10" s="1"/>
  <c r="H713" i="10"/>
  <c r="M713" i="10"/>
  <c r="G714" i="10"/>
  <c r="H714" i="10"/>
  <c r="I714" i="10"/>
  <c r="M714" i="10"/>
  <c r="G715" i="10"/>
  <c r="I715" i="10" s="1"/>
  <c r="H715" i="10"/>
  <c r="M715" i="10"/>
  <c r="G716" i="10"/>
  <c r="H716" i="10"/>
  <c r="I716" i="10"/>
  <c r="M716" i="10"/>
  <c r="G717" i="10"/>
  <c r="I717" i="10" s="1"/>
  <c r="H717" i="10"/>
  <c r="M717" i="10"/>
  <c r="G718" i="10"/>
  <c r="H718" i="10"/>
  <c r="I718" i="10"/>
  <c r="M718" i="10"/>
  <c r="G719" i="10"/>
  <c r="I719" i="10" s="1"/>
  <c r="H719" i="10"/>
  <c r="M719" i="10"/>
  <c r="G720" i="10"/>
  <c r="H720" i="10"/>
  <c r="I720" i="10"/>
  <c r="M720" i="10"/>
  <c r="G721" i="10"/>
  <c r="I721" i="10" s="1"/>
  <c r="H721" i="10"/>
  <c r="M721" i="10"/>
  <c r="G722" i="10"/>
  <c r="H722" i="10"/>
  <c r="I722" i="10"/>
  <c r="M722" i="10"/>
  <c r="G723" i="10"/>
  <c r="I723" i="10" s="1"/>
  <c r="H723" i="10"/>
  <c r="M723" i="10"/>
  <c r="G724" i="10"/>
  <c r="H724" i="10"/>
  <c r="I724" i="10"/>
  <c r="M724" i="10"/>
  <c r="G725" i="10"/>
  <c r="I725" i="10" s="1"/>
  <c r="H725" i="10"/>
  <c r="M725" i="10"/>
  <c r="G726" i="10"/>
  <c r="H726" i="10"/>
  <c r="I726" i="10"/>
  <c r="M726" i="10"/>
  <c r="G727" i="10"/>
  <c r="I727" i="10" s="1"/>
  <c r="H727" i="10"/>
  <c r="M727" i="10"/>
  <c r="G728" i="10"/>
  <c r="H728" i="10"/>
  <c r="I728" i="10"/>
  <c r="M728" i="10"/>
  <c r="G729" i="10"/>
  <c r="I729" i="10" s="1"/>
  <c r="H729" i="10"/>
  <c r="M729" i="10"/>
  <c r="G730" i="10"/>
  <c r="H730" i="10"/>
  <c r="I730" i="10"/>
  <c r="M730" i="10"/>
  <c r="G731" i="10"/>
  <c r="I731" i="10" s="1"/>
  <c r="H731" i="10"/>
  <c r="M731" i="10"/>
  <c r="G732" i="10"/>
  <c r="H732" i="10"/>
  <c r="I732" i="10"/>
  <c r="M732" i="10"/>
  <c r="G733" i="10"/>
  <c r="I733" i="10" s="1"/>
  <c r="H733" i="10"/>
  <c r="M733" i="10"/>
  <c r="G734" i="10"/>
  <c r="H734" i="10"/>
  <c r="I734" i="10"/>
  <c r="M734" i="10"/>
  <c r="G735" i="10"/>
  <c r="I735" i="10" s="1"/>
  <c r="H735" i="10"/>
  <c r="M735" i="10"/>
  <c r="G736" i="10"/>
  <c r="H736" i="10"/>
  <c r="I736" i="10"/>
  <c r="M736" i="10"/>
  <c r="G737" i="10"/>
  <c r="I737" i="10" s="1"/>
  <c r="H737" i="10"/>
  <c r="M737" i="10"/>
  <c r="G738" i="10"/>
  <c r="H738" i="10"/>
  <c r="I738" i="10"/>
  <c r="M738" i="10"/>
  <c r="G739" i="10"/>
  <c r="I739" i="10" s="1"/>
  <c r="H739" i="10"/>
  <c r="M739" i="10"/>
  <c r="G740" i="10"/>
  <c r="H740" i="10"/>
  <c r="I740" i="10"/>
  <c r="M740" i="10"/>
  <c r="G741" i="10"/>
  <c r="I741" i="10" s="1"/>
  <c r="H741" i="10"/>
  <c r="M741" i="10"/>
  <c r="G742" i="10"/>
  <c r="H742" i="10"/>
  <c r="I742" i="10"/>
  <c r="M742" i="10"/>
  <c r="G743" i="10"/>
  <c r="I743" i="10" s="1"/>
  <c r="H743" i="10"/>
  <c r="M743" i="10"/>
  <c r="F2" i="9"/>
  <c r="F3" i="9"/>
  <c r="F4" i="9"/>
  <c r="F5" i="9"/>
  <c r="F6" i="9"/>
  <c r="F7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7" i="9"/>
  <c r="F28" i="9"/>
  <c r="F29" i="9"/>
  <c r="F30" i="9"/>
  <c r="F31" i="9"/>
  <c r="F32" i="9"/>
  <c r="F33" i="9"/>
  <c r="F34" i="9"/>
  <c r="F35" i="9"/>
  <c r="F36" i="9"/>
  <c r="F38" i="9"/>
  <c r="F39" i="9"/>
  <c r="F40" i="9"/>
  <c r="F41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4" i="9"/>
  <c r="F105" i="9"/>
  <c r="F106" i="9"/>
  <c r="F107" i="9"/>
  <c r="F108" i="9"/>
  <c r="F109" i="9"/>
  <c r="F110" i="9"/>
  <c r="F111" i="9"/>
  <c r="F113" i="9"/>
  <c r="F114" i="9"/>
  <c r="F115" i="9"/>
  <c r="F116" i="9"/>
  <c r="F117" i="9"/>
  <c r="F118" i="9"/>
  <c r="F119" i="9"/>
  <c r="F120" i="9"/>
  <c r="F121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3" i="9"/>
  <c r="F144" i="9"/>
  <c r="F145" i="9"/>
  <c r="F146" i="9"/>
  <c r="F147" i="9"/>
  <c r="F148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90" i="9"/>
  <c r="F191" i="9"/>
  <c r="F192" i="9"/>
  <c r="F193" i="9"/>
  <c r="F194" i="9"/>
  <c r="F195" i="9"/>
  <c r="F196" i="9"/>
  <c r="F197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4" i="9"/>
  <c r="F355" i="9"/>
  <c r="F356" i="9"/>
  <c r="F357" i="9"/>
  <c r="F358" i="9"/>
  <c r="F359" i="9"/>
  <c r="F360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40" i="9"/>
  <c r="F441" i="9"/>
  <c r="F442" i="9"/>
  <c r="F443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3" i="9"/>
  <c r="F774" i="9"/>
  <c r="F775" i="9"/>
  <c r="F776" i="9"/>
  <c r="F777" i="9"/>
  <c r="F779" i="9"/>
  <c r="F780" i="9"/>
  <c r="F781" i="9"/>
  <c r="F782" i="9"/>
  <c r="F783" i="9"/>
  <c r="F784" i="9"/>
  <c r="F784" i="8"/>
  <c r="F783" i="8"/>
  <c r="F782" i="8"/>
  <c r="F781" i="8"/>
  <c r="F780" i="8"/>
  <c r="F779" i="8"/>
  <c r="F777" i="8"/>
  <c r="F776" i="8"/>
  <c r="F775" i="8"/>
  <c r="F774" i="8"/>
  <c r="F773" i="8"/>
  <c r="F771" i="8"/>
  <c r="F770" i="8"/>
  <c r="F769" i="8"/>
  <c r="F768" i="8"/>
  <c r="F767" i="8"/>
  <c r="F766" i="8"/>
  <c r="F765" i="8"/>
  <c r="F764" i="8"/>
  <c r="F763" i="8"/>
  <c r="F762" i="8"/>
  <c r="F761" i="8"/>
  <c r="F760" i="8"/>
  <c r="F759" i="8"/>
  <c r="F758" i="8"/>
  <c r="F757" i="8"/>
  <c r="F756" i="8"/>
  <c r="F755" i="8"/>
  <c r="F754" i="8"/>
  <c r="F753" i="8"/>
  <c r="F752" i="8"/>
  <c r="F751" i="8"/>
  <c r="F750" i="8"/>
  <c r="F749" i="8"/>
  <c r="F748" i="8"/>
  <c r="F747" i="8"/>
  <c r="F746" i="8"/>
  <c r="F745" i="8"/>
  <c r="F744" i="8"/>
  <c r="F743" i="8"/>
  <c r="F742" i="8"/>
  <c r="F741" i="8"/>
  <c r="F740" i="8"/>
  <c r="F739" i="8"/>
  <c r="F738" i="8"/>
  <c r="F737" i="8"/>
  <c r="F736" i="8"/>
  <c r="F735" i="8"/>
  <c r="F734" i="8"/>
  <c r="F733" i="8"/>
  <c r="F732" i="8"/>
  <c r="F731" i="8"/>
  <c r="F730" i="8"/>
  <c r="F729" i="8"/>
  <c r="F728" i="8"/>
  <c r="F727" i="8"/>
  <c r="F726" i="8"/>
  <c r="F725" i="8"/>
  <c r="F724" i="8"/>
  <c r="F723" i="8"/>
  <c r="F722" i="8"/>
  <c r="F721" i="8"/>
  <c r="F720" i="8"/>
  <c r="F719" i="8"/>
  <c r="F718" i="8"/>
  <c r="F717" i="8"/>
  <c r="F716" i="8"/>
  <c r="F715" i="8"/>
  <c r="F714" i="8"/>
  <c r="F713" i="8"/>
  <c r="F712" i="8"/>
  <c r="F711" i="8"/>
  <c r="F710" i="8"/>
  <c r="F709" i="8"/>
  <c r="F708" i="8"/>
  <c r="F707" i="8"/>
  <c r="F706" i="8"/>
  <c r="F705" i="8"/>
  <c r="F704" i="8"/>
  <c r="F703" i="8"/>
  <c r="F702" i="8"/>
  <c r="F701" i="8"/>
  <c r="F700" i="8"/>
  <c r="F699" i="8"/>
  <c r="F698" i="8"/>
  <c r="F697" i="8"/>
  <c r="F696" i="8"/>
  <c r="F695" i="8"/>
  <c r="F694" i="8"/>
  <c r="F693" i="8"/>
  <c r="F692" i="8"/>
  <c r="F691" i="8"/>
  <c r="F690" i="8"/>
  <c r="F689" i="8"/>
  <c r="F688" i="8"/>
  <c r="F687" i="8"/>
  <c r="F686" i="8"/>
  <c r="F685" i="8"/>
  <c r="F684" i="8"/>
  <c r="F683" i="8"/>
  <c r="F682" i="8"/>
  <c r="F681" i="8"/>
  <c r="F680" i="8"/>
  <c r="F679" i="8"/>
  <c r="F678" i="8"/>
  <c r="F677" i="8"/>
  <c r="F676" i="8"/>
  <c r="F674" i="8"/>
  <c r="F673" i="8"/>
  <c r="F672" i="8"/>
  <c r="F671" i="8"/>
  <c r="F670" i="8"/>
  <c r="F669" i="8"/>
  <c r="F668" i="8"/>
  <c r="F667" i="8"/>
  <c r="F666" i="8"/>
  <c r="F665" i="8"/>
  <c r="F664" i="8"/>
  <c r="F663" i="8"/>
  <c r="F662" i="8"/>
  <c r="F661" i="8"/>
  <c r="F660" i="8"/>
  <c r="F659" i="8"/>
  <c r="F658" i="8"/>
  <c r="F657" i="8"/>
  <c r="F656" i="8"/>
  <c r="F655" i="8"/>
  <c r="F654" i="8"/>
  <c r="F653" i="8"/>
  <c r="F652" i="8"/>
  <c r="F651" i="8"/>
  <c r="F650" i="8"/>
  <c r="F649" i="8"/>
  <c r="F648" i="8"/>
  <c r="F647" i="8"/>
  <c r="F646" i="8"/>
  <c r="F645" i="8"/>
  <c r="F644" i="8"/>
  <c r="F643" i="8"/>
  <c r="F642" i="8"/>
  <c r="F641" i="8"/>
  <c r="F640" i="8"/>
  <c r="F639" i="8"/>
  <c r="F638" i="8"/>
  <c r="F637" i="8"/>
  <c r="F636" i="8"/>
  <c r="F635" i="8"/>
  <c r="F634" i="8"/>
  <c r="F633" i="8"/>
  <c r="F632" i="8"/>
  <c r="F631" i="8"/>
  <c r="F630" i="8"/>
  <c r="F629" i="8"/>
  <c r="F628" i="8"/>
  <c r="F627" i="8"/>
  <c r="F626" i="8"/>
  <c r="F625" i="8"/>
  <c r="F624" i="8"/>
  <c r="F623" i="8"/>
  <c r="F622" i="8"/>
  <c r="F621" i="8"/>
  <c r="F620" i="8"/>
  <c r="F619" i="8"/>
  <c r="F618" i="8"/>
  <c r="F617" i="8"/>
  <c r="F616" i="8"/>
  <c r="F615" i="8"/>
  <c r="F614" i="8"/>
  <c r="F613" i="8"/>
  <c r="F612" i="8"/>
  <c r="F611" i="8"/>
  <c r="F610" i="8"/>
  <c r="F609" i="8"/>
  <c r="F608" i="8"/>
  <c r="F607" i="8"/>
  <c r="F606" i="8"/>
  <c r="F605" i="8"/>
  <c r="F604" i="8"/>
  <c r="F603" i="8"/>
  <c r="F602" i="8"/>
  <c r="F601" i="8"/>
  <c r="F600" i="8"/>
  <c r="F599" i="8"/>
  <c r="F597" i="8"/>
  <c r="F596" i="8"/>
  <c r="F595" i="8"/>
  <c r="F594" i="8"/>
  <c r="F593" i="8"/>
  <c r="F592" i="8"/>
  <c r="F591" i="8"/>
  <c r="F590" i="8"/>
  <c r="F589" i="8"/>
  <c r="F588" i="8"/>
  <c r="F587" i="8"/>
  <c r="F586" i="8"/>
  <c r="F585" i="8"/>
  <c r="F584" i="8"/>
  <c r="F583" i="8"/>
  <c r="F582" i="8"/>
  <c r="F581" i="8"/>
  <c r="F580" i="8"/>
  <c r="F579" i="8"/>
  <c r="F578" i="8"/>
  <c r="F577" i="8"/>
  <c r="F576" i="8"/>
  <c r="F575" i="8"/>
  <c r="F574" i="8"/>
  <c r="F573" i="8"/>
  <c r="F572" i="8"/>
  <c r="F571" i="8"/>
  <c r="F570" i="8"/>
  <c r="F569" i="8"/>
  <c r="F568" i="8"/>
  <c r="F567" i="8"/>
  <c r="F566" i="8"/>
  <c r="F565" i="8"/>
  <c r="F564" i="8"/>
  <c r="F563" i="8"/>
  <c r="F562" i="8"/>
  <c r="F561" i="8"/>
  <c r="F560" i="8"/>
  <c r="F559" i="8"/>
  <c r="F558" i="8"/>
  <c r="F557" i="8"/>
  <c r="F556" i="8"/>
  <c r="F555" i="8"/>
  <c r="F554" i="8"/>
  <c r="F553" i="8"/>
  <c r="F552" i="8"/>
  <c r="F551" i="8"/>
  <c r="F550" i="8"/>
  <c r="F549" i="8"/>
  <c r="F548" i="8"/>
  <c r="F547" i="8"/>
  <c r="F546" i="8"/>
  <c r="F545" i="8"/>
  <c r="F544" i="8"/>
  <c r="F543" i="8"/>
  <c r="F542" i="8"/>
  <c r="F541" i="8"/>
  <c r="F540" i="8"/>
  <c r="F539" i="8"/>
  <c r="F538" i="8"/>
  <c r="F537" i="8"/>
  <c r="F536" i="8"/>
  <c r="F535" i="8"/>
  <c r="F534" i="8"/>
  <c r="F533" i="8"/>
  <c r="F532" i="8"/>
  <c r="F531" i="8"/>
  <c r="F530" i="8"/>
  <c r="F529" i="8"/>
  <c r="F528" i="8"/>
  <c r="F527" i="8"/>
  <c r="F526" i="8"/>
  <c r="F525" i="8"/>
  <c r="F524" i="8"/>
  <c r="F523" i="8"/>
  <c r="F522" i="8"/>
  <c r="F521" i="8"/>
  <c r="F520" i="8"/>
  <c r="F519" i="8"/>
  <c r="F518" i="8"/>
  <c r="F517" i="8"/>
  <c r="F516" i="8"/>
  <c r="F515" i="8"/>
  <c r="F514" i="8"/>
  <c r="F513" i="8"/>
  <c r="F512" i="8"/>
  <c r="F511" i="8"/>
  <c r="F510" i="8"/>
  <c r="F509" i="8"/>
  <c r="F508" i="8"/>
  <c r="F507" i="8"/>
  <c r="F505" i="8"/>
  <c r="F504" i="8"/>
  <c r="F503" i="8"/>
  <c r="F502" i="8"/>
  <c r="F501" i="8"/>
  <c r="F500" i="8"/>
  <c r="F499" i="8"/>
  <c r="F498" i="8"/>
  <c r="F497" i="8"/>
  <c r="F496" i="8"/>
  <c r="F495" i="8"/>
  <c r="F494" i="8"/>
  <c r="F493" i="8"/>
  <c r="F492" i="8"/>
  <c r="F491" i="8"/>
  <c r="F490" i="8"/>
  <c r="F488" i="8"/>
  <c r="F487" i="8"/>
  <c r="F486" i="8"/>
  <c r="F485" i="8"/>
  <c r="F484" i="8"/>
  <c r="F483" i="8"/>
  <c r="F482" i="8"/>
  <c r="F481" i="8"/>
  <c r="F480" i="8"/>
  <c r="F479" i="8"/>
  <c r="F478" i="8"/>
  <c r="F477" i="8"/>
  <c r="F476" i="8"/>
  <c r="F475" i="8"/>
  <c r="F474" i="8"/>
  <c r="F473" i="8"/>
  <c r="F472" i="8"/>
  <c r="F471" i="8"/>
  <c r="F470" i="8"/>
  <c r="F469" i="8"/>
  <c r="F468" i="8"/>
  <c r="F467" i="8"/>
  <c r="F466" i="8"/>
  <c r="F465" i="8"/>
  <c r="F464" i="8"/>
  <c r="F463" i="8"/>
  <c r="F462" i="8"/>
  <c r="F461" i="8"/>
  <c r="F460" i="8"/>
  <c r="F459" i="8"/>
  <c r="F458" i="8"/>
  <c r="F457" i="8"/>
  <c r="F456" i="8"/>
  <c r="F455" i="8"/>
  <c r="F454" i="8"/>
  <c r="F453" i="8"/>
  <c r="F452" i="8"/>
  <c r="F451" i="8"/>
  <c r="F450" i="8"/>
  <c r="F449" i="8"/>
  <c r="F448" i="8"/>
  <c r="F447" i="8"/>
  <c r="F446" i="8"/>
  <c r="F445" i="8"/>
  <c r="F443" i="8"/>
  <c r="F442" i="8"/>
  <c r="F441" i="8"/>
  <c r="F440" i="8"/>
  <c r="F438" i="8"/>
  <c r="F437" i="8"/>
  <c r="F436" i="8"/>
  <c r="F435" i="8"/>
  <c r="F434" i="8"/>
  <c r="F433" i="8"/>
  <c r="F432" i="8"/>
  <c r="F431" i="8"/>
  <c r="F430" i="8"/>
  <c r="F429" i="8"/>
  <c r="F428" i="8"/>
  <c r="F427" i="8"/>
  <c r="F426" i="8"/>
  <c r="F425" i="8"/>
  <c r="F424" i="8"/>
  <c r="F423" i="8"/>
  <c r="F422" i="8"/>
  <c r="F421" i="8"/>
  <c r="F420" i="8"/>
  <c r="F419" i="8"/>
  <c r="F418" i="8"/>
  <c r="F416" i="8"/>
  <c r="F415" i="8"/>
  <c r="F414" i="8"/>
  <c r="F413" i="8"/>
  <c r="F412" i="8"/>
  <c r="F411" i="8"/>
  <c r="F410" i="8"/>
  <c r="F409" i="8"/>
  <c r="F408" i="8"/>
  <c r="F407" i="8"/>
  <c r="F406" i="8"/>
  <c r="F405" i="8"/>
  <c r="F404" i="8"/>
  <c r="F403" i="8"/>
  <c r="F402" i="8"/>
  <c r="F401" i="8"/>
  <c r="F400" i="8"/>
  <c r="F399" i="8"/>
  <c r="F398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0" i="8"/>
  <c r="F359" i="8"/>
  <c r="F358" i="8"/>
  <c r="F357" i="8"/>
  <c r="F356" i="8"/>
  <c r="F355" i="8"/>
  <c r="F354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7" i="8"/>
  <c r="F196" i="8"/>
  <c r="F195" i="8"/>
  <c r="F194" i="8"/>
  <c r="F193" i="8"/>
  <c r="F192" i="8"/>
  <c r="F191" i="8"/>
  <c r="F190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8" i="8"/>
  <c r="F147" i="8"/>
  <c r="F146" i="8"/>
  <c r="F145" i="8"/>
  <c r="F144" i="8"/>
  <c r="F143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1" i="8"/>
  <c r="F120" i="8"/>
  <c r="F119" i="8"/>
  <c r="F118" i="8"/>
  <c r="F117" i="8"/>
  <c r="F116" i="8"/>
  <c r="F115" i="8"/>
  <c r="F114" i="8"/>
  <c r="F113" i="8"/>
  <c r="F111" i="8"/>
  <c r="F110" i="8"/>
  <c r="F109" i="8"/>
  <c r="F108" i="8"/>
  <c r="F107" i="8"/>
  <c r="F106" i="8"/>
  <c r="F105" i="8"/>
  <c r="F104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1" i="8"/>
  <c r="F40" i="8"/>
  <c r="F39" i="8"/>
  <c r="F38" i="8"/>
  <c r="F36" i="8"/>
  <c r="F35" i="8"/>
  <c r="F34" i="8"/>
  <c r="F33" i="8"/>
  <c r="F32" i="8"/>
  <c r="F31" i="8"/>
  <c r="F30" i="8"/>
  <c r="F29" i="8"/>
  <c r="F28" i="8"/>
  <c r="F27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7" i="8"/>
  <c r="F6" i="8"/>
  <c r="F5" i="8"/>
  <c r="F4" i="8"/>
  <c r="F3" i="8"/>
  <c r="F2" i="8"/>
  <c r="I742" i="7"/>
  <c r="H742" i="7"/>
  <c r="I741" i="7"/>
  <c r="H741" i="7"/>
  <c r="I740" i="7"/>
  <c r="H740" i="7"/>
  <c r="I739" i="7"/>
  <c r="H739" i="7"/>
  <c r="I738" i="7"/>
  <c r="H738" i="7"/>
  <c r="I737" i="7"/>
  <c r="H737" i="7"/>
  <c r="I736" i="7"/>
  <c r="H736" i="7"/>
  <c r="I735" i="7"/>
  <c r="H735" i="7"/>
  <c r="I734" i="7"/>
  <c r="H734" i="7"/>
  <c r="I733" i="7"/>
  <c r="H733" i="7"/>
  <c r="I732" i="7"/>
  <c r="H732" i="7"/>
  <c r="I731" i="7"/>
  <c r="H731" i="7"/>
  <c r="I730" i="7"/>
  <c r="H730" i="7"/>
  <c r="I729" i="7"/>
  <c r="H729" i="7"/>
  <c r="I728" i="7"/>
  <c r="H728" i="7"/>
  <c r="I727" i="7"/>
  <c r="H727" i="7"/>
  <c r="I726" i="7"/>
  <c r="H726" i="7"/>
  <c r="I725" i="7"/>
  <c r="H725" i="7"/>
  <c r="I724" i="7"/>
  <c r="H724" i="7"/>
  <c r="I723" i="7"/>
  <c r="H723" i="7"/>
  <c r="I722" i="7"/>
  <c r="H722" i="7"/>
  <c r="I721" i="7"/>
  <c r="H721" i="7"/>
  <c r="I720" i="7"/>
  <c r="H720" i="7"/>
  <c r="I719" i="7"/>
  <c r="H719" i="7"/>
  <c r="I718" i="7"/>
  <c r="H718" i="7"/>
  <c r="I717" i="7"/>
  <c r="H717" i="7"/>
  <c r="I716" i="7"/>
  <c r="H716" i="7"/>
  <c r="I715" i="7"/>
  <c r="H715" i="7"/>
  <c r="I714" i="7"/>
  <c r="H714" i="7"/>
  <c r="I713" i="7"/>
  <c r="H713" i="7"/>
  <c r="I712" i="7"/>
  <c r="H712" i="7"/>
  <c r="I711" i="7"/>
  <c r="H711" i="7"/>
  <c r="I710" i="7"/>
  <c r="H710" i="7"/>
  <c r="I709" i="7"/>
  <c r="H709" i="7"/>
  <c r="I708" i="7"/>
  <c r="H708" i="7"/>
  <c r="I707" i="7"/>
  <c r="H707" i="7"/>
  <c r="I706" i="7"/>
  <c r="H706" i="7"/>
  <c r="I705" i="7"/>
  <c r="H705" i="7"/>
  <c r="I704" i="7"/>
  <c r="H704" i="7"/>
  <c r="I703" i="7"/>
  <c r="H703" i="7"/>
  <c r="I702" i="7"/>
  <c r="H702" i="7"/>
  <c r="I701" i="7"/>
  <c r="H701" i="7"/>
  <c r="I700" i="7"/>
  <c r="H700" i="7"/>
  <c r="I699" i="7"/>
  <c r="H699" i="7"/>
  <c r="I698" i="7"/>
  <c r="H698" i="7"/>
  <c r="I697" i="7"/>
  <c r="H697" i="7"/>
  <c r="I696" i="7"/>
  <c r="H696" i="7"/>
  <c r="I695" i="7"/>
  <c r="H695" i="7"/>
  <c r="I694" i="7"/>
  <c r="H694" i="7"/>
  <c r="I693" i="7"/>
  <c r="H693" i="7"/>
  <c r="I692" i="7"/>
  <c r="H692" i="7"/>
  <c r="I691" i="7"/>
  <c r="H691" i="7"/>
  <c r="I690" i="7"/>
  <c r="H690" i="7"/>
  <c r="I689" i="7"/>
  <c r="H689" i="7"/>
  <c r="I688" i="7"/>
  <c r="H688" i="7"/>
  <c r="I687" i="7"/>
  <c r="H687" i="7"/>
  <c r="I686" i="7"/>
  <c r="H686" i="7"/>
  <c r="I685" i="7"/>
  <c r="H685" i="7"/>
  <c r="I684" i="7"/>
  <c r="H684" i="7"/>
  <c r="I683" i="7"/>
  <c r="H683" i="7"/>
  <c r="I682" i="7"/>
  <c r="H682" i="7"/>
  <c r="I681" i="7"/>
  <c r="H681" i="7"/>
  <c r="I680" i="7"/>
  <c r="H680" i="7"/>
  <c r="I679" i="7"/>
  <c r="H679" i="7"/>
  <c r="I678" i="7"/>
  <c r="H678" i="7"/>
  <c r="I677" i="7"/>
  <c r="H677" i="7"/>
  <c r="I676" i="7"/>
  <c r="H676" i="7"/>
  <c r="I675" i="7"/>
  <c r="H675" i="7"/>
  <c r="I674" i="7"/>
  <c r="H674" i="7"/>
  <c r="I673" i="7"/>
  <c r="H673" i="7"/>
  <c r="I672" i="7"/>
  <c r="H672" i="7"/>
  <c r="I671" i="7"/>
  <c r="H671" i="7"/>
  <c r="I670" i="7"/>
  <c r="H670" i="7"/>
  <c r="I669" i="7"/>
  <c r="H669" i="7"/>
  <c r="I668" i="7"/>
  <c r="H668" i="7"/>
  <c r="I667" i="7"/>
  <c r="H667" i="7"/>
  <c r="I666" i="7"/>
  <c r="H666" i="7"/>
  <c r="I665" i="7"/>
  <c r="H665" i="7"/>
  <c r="I664" i="7"/>
  <c r="H664" i="7"/>
  <c r="I663" i="7"/>
  <c r="H663" i="7"/>
  <c r="I662" i="7"/>
  <c r="H662" i="7"/>
  <c r="I661" i="7"/>
  <c r="H661" i="7"/>
  <c r="I660" i="7"/>
  <c r="H660" i="7"/>
  <c r="I659" i="7"/>
  <c r="H659" i="7"/>
  <c r="I658" i="7"/>
  <c r="H658" i="7"/>
  <c r="I657" i="7"/>
  <c r="H657" i="7"/>
  <c r="I656" i="7"/>
  <c r="H656" i="7"/>
  <c r="I655" i="7"/>
  <c r="H655" i="7"/>
  <c r="I654" i="7"/>
  <c r="H654" i="7"/>
  <c r="I653" i="7"/>
  <c r="H653" i="7"/>
  <c r="I652" i="7"/>
  <c r="H652" i="7"/>
  <c r="I651" i="7"/>
  <c r="H651" i="7"/>
  <c r="I650" i="7"/>
  <c r="H650" i="7"/>
  <c r="I649" i="7"/>
  <c r="H649" i="7"/>
  <c r="I648" i="7"/>
  <c r="H648" i="7"/>
  <c r="I647" i="7"/>
  <c r="H647" i="7"/>
  <c r="I646" i="7"/>
  <c r="H646" i="7"/>
  <c r="I645" i="7"/>
  <c r="H645" i="7"/>
  <c r="I644" i="7"/>
  <c r="H644" i="7"/>
  <c r="I643" i="7"/>
  <c r="H643" i="7"/>
  <c r="I642" i="7"/>
  <c r="H642" i="7"/>
  <c r="I641" i="7"/>
  <c r="H641" i="7"/>
  <c r="I640" i="7"/>
  <c r="H640" i="7"/>
  <c r="I639" i="7"/>
  <c r="H639" i="7"/>
  <c r="I638" i="7"/>
  <c r="H638" i="7"/>
  <c r="I637" i="7"/>
  <c r="H637" i="7"/>
  <c r="I636" i="7"/>
  <c r="H636" i="7"/>
  <c r="I635" i="7"/>
  <c r="H635" i="7"/>
  <c r="I634" i="7"/>
  <c r="H634" i="7"/>
  <c r="I633" i="7"/>
  <c r="H633" i="7"/>
  <c r="I632" i="7"/>
  <c r="H632" i="7"/>
  <c r="I631" i="7"/>
  <c r="H631" i="7"/>
  <c r="I630" i="7"/>
  <c r="H630" i="7"/>
  <c r="I629" i="7"/>
  <c r="H629" i="7"/>
  <c r="I628" i="7"/>
  <c r="H628" i="7"/>
  <c r="I627" i="7"/>
  <c r="H627" i="7"/>
  <c r="I626" i="7"/>
  <c r="H626" i="7"/>
  <c r="I625" i="7"/>
  <c r="H625" i="7"/>
  <c r="I624" i="7"/>
  <c r="H624" i="7"/>
  <c r="I623" i="7"/>
  <c r="H623" i="7"/>
  <c r="I622" i="7"/>
  <c r="H622" i="7"/>
  <c r="I621" i="7"/>
  <c r="H621" i="7"/>
  <c r="I620" i="7"/>
  <c r="H620" i="7"/>
  <c r="I619" i="7"/>
  <c r="H619" i="7"/>
  <c r="I618" i="7"/>
  <c r="H618" i="7"/>
  <c r="I617" i="7"/>
  <c r="H617" i="7"/>
  <c r="I616" i="7"/>
  <c r="H616" i="7"/>
  <c r="I615" i="7"/>
  <c r="H615" i="7"/>
  <c r="I614" i="7"/>
  <c r="H614" i="7"/>
  <c r="I613" i="7"/>
  <c r="H613" i="7"/>
  <c r="I612" i="7"/>
  <c r="H612" i="7"/>
  <c r="I611" i="7"/>
  <c r="H611" i="7"/>
  <c r="I610" i="7"/>
  <c r="H610" i="7"/>
  <c r="I609" i="7"/>
  <c r="H609" i="7"/>
  <c r="I608" i="7"/>
  <c r="H608" i="7"/>
  <c r="I607" i="7"/>
  <c r="H607" i="7"/>
  <c r="I606" i="7"/>
  <c r="H606" i="7"/>
  <c r="I605" i="7"/>
  <c r="H605" i="7"/>
  <c r="I604" i="7"/>
  <c r="H604" i="7"/>
  <c r="I603" i="7"/>
  <c r="H603" i="7"/>
  <c r="I602" i="7"/>
  <c r="H602" i="7"/>
  <c r="I601" i="7"/>
  <c r="H601" i="7"/>
  <c r="I600" i="7"/>
  <c r="H600" i="7"/>
  <c r="I599" i="7"/>
  <c r="H599" i="7"/>
  <c r="I598" i="7"/>
  <c r="H598" i="7"/>
  <c r="I597" i="7"/>
  <c r="H597" i="7"/>
  <c r="I596" i="7"/>
  <c r="H596" i="7"/>
  <c r="I595" i="7"/>
  <c r="H595" i="7"/>
  <c r="I594" i="7"/>
  <c r="H594" i="7"/>
  <c r="I593" i="7"/>
  <c r="H593" i="7"/>
  <c r="I592" i="7"/>
  <c r="H592" i="7"/>
  <c r="I591" i="7"/>
  <c r="H591" i="7"/>
  <c r="I590" i="7"/>
  <c r="H590" i="7"/>
  <c r="I589" i="7"/>
  <c r="H589" i="7"/>
  <c r="I588" i="7"/>
  <c r="H588" i="7"/>
  <c r="I587" i="7"/>
  <c r="H587" i="7"/>
  <c r="I586" i="7"/>
  <c r="H586" i="7"/>
  <c r="I585" i="7"/>
  <c r="H585" i="7"/>
  <c r="I584" i="7"/>
  <c r="H584" i="7"/>
  <c r="I583" i="7"/>
  <c r="H583" i="7"/>
  <c r="I582" i="7"/>
  <c r="H582" i="7"/>
  <c r="I581" i="7"/>
  <c r="H581" i="7"/>
  <c r="I580" i="7"/>
  <c r="H580" i="7"/>
  <c r="I579" i="7"/>
  <c r="H579" i="7"/>
  <c r="I578" i="7"/>
  <c r="H578" i="7"/>
  <c r="I577" i="7"/>
  <c r="H577" i="7"/>
  <c r="I576" i="7"/>
  <c r="H576" i="7"/>
  <c r="I575" i="7"/>
  <c r="H575" i="7"/>
  <c r="I574" i="7"/>
  <c r="H574" i="7"/>
  <c r="I573" i="7"/>
  <c r="H573" i="7"/>
  <c r="I572" i="7"/>
  <c r="H572" i="7"/>
  <c r="I571" i="7"/>
  <c r="H571" i="7"/>
  <c r="I570" i="7"/>
  <c r="H570" i="7"/>
  <c r="I569" i="7"/>
  <c r="H569" i="7"/>
  <c r="I568" i="7"/>
  <c r="H568" i="7"/>
  <c r="I567" i="7"/>
  <c r="H567" i="7"/>
  <c r="I566" i="7"/>
  <c r="H566" i="7"/>
  <c r="I565" i="7"/>
  <c r="H565" i="7"/>
  <c r="I564" i="7"/>
  <c r="H564" i="7"/>
  <c r="I563" i="7"/>
  <c r="H563" i="7"/>
  <c r="I562" i="7"/>
  <c r="H562" i="7"/>
  <c r="I561" i="7"/>
  <c r="H561" i="7"/>
  <c r="I560" i="7"/>
  <c r="H560" i="7"/>
  <c r="I559" i="7"/>
  <c r="H559" i="7"/>
  <c r="I558" i="7"/>
  <c r="H558" i="7"/>
  <c r="I557" i="7"/>
  <c r="H557" i="7"/>
  <c r="I556" i="7"/>
  <c r="H556" i="7"/>
  <c r="I555" i="7"/>
  <c r="H555" i="7"/>
  <c r="I554" i="7"/>
  <c r="H554" i="7"/>
  <c r="I553" i="7"/>
  <c r="H553" i="7"/>
  <c r="I552" i="7"/>
  <c r="H552" i="7"/>
  <c r="I551" i="7"/>
  <c r="H551" i="7"/>
  <c r="I550" i="7"/>
  <c r="H550" i="7"/>
  <c r="I549" i="7"/>
  <c r="H549" i="7"/>
  <c r="I548" i="7"/>
  <c r="H548" i="7"/>
  <c r="I547" i="7"/>
  <c r="H547" i="7"/>
  <c r="I546" i="7"/>
  <c r="H546" i="7"/>
  <c r="I545" i="7"/>
  <c r="H545" i="7"/>
  <c r="I544" i="7"/>
  <c r="H544" i="7"/>
  <c r="I543" i="7"/>
  <c r="H543" i="7"/>
  <c r="I542" i="7"/>
  <c r="H542" i="7"/>
  <c r="I541" i="7"/>
  <c r="H541" i="7"/>
  <c r="I540" i="7"/>
  <c r="H540" i="7"/>
  <c r="I539" i="7"/>
  <c r="H539" i="7"/>
  <c r="I538" i="7"/>
  <c r="H538" i="7"/>
  <c r="I537" i="7"/>
  <c r="H537" i="7"/>
  <c r="I536" i="7"/>
  <c r="H536" i="7"/>
  <c r="I535" i="7"/>
  <c r="H535" i="7"/>
  <c r="I534" i="7"/>
  <c r="H534" i="7"/>
  <c r="I533" i="7"/>
  <c r="H533" i="7"/>
  <c r="I532" i="7"/>
  <c r="H532" i="7"/>
  <c r="I531" i="7"/>
  <c r="H531" i="7"/>
  <c r="I530" i="7"/>
  <c r="H530" i="7"/>
  <c r="I529" i="7"/>
  <c r="H529" i="7"/>
  <c r="I528" i="7"/>
  <c r="H528" i="7"/>
  <c r="I527" i="7"/>
  <c r="H527" i="7"/>
  <c r="I526" i="7"/>
  <c r="H526" i="7"/>
  <c r="I525" i="7"/>
  <c r="H525" i="7"/>
  <c r="I524" i="7"/>
  <c r="H524" i="7"/>
  <c r="I523" i="7"/>
  <c r="H523" i="7"/>
  <c r="I522" i="7"/>
  <c r="H522" i="7"/>
  <c r="I521" i="7"/>
  <c r="H521" i="7"/>
  <c r="I520" i="7"/>
  <c r="H520" i="7"/>
  <c r="I519" i="7"/>
  <c r="H519" i="7"/>
  <c r="I518" i="7"/>
  <c r="H518" i="7"/>
  <c r="I517" i="7"/>
  <c r="H517" i="7"/>
  <c r="I516" i="7"/>
  <c r="H516" i="7"/>
  <c r="I515" i="7"/>
  <c r="H515" i="7"/>
  <c r="I514" i="7"/>
  <c r="H514" i="7"/>
  <c r="I513" i="7"/>
  <c r="H513" i="7"/>
  <c r="I512" i="7"/>
  <c r="H512" i="7"/>
  <c r="I511" i="7"/>
  <c r="H511" i="7"/>
  <c r="I510" i="7"/>
  <c r="H510" i="7"/>
  <c r="I509" i="7"/>
  <c r="H509" i="7"/>
  <c r="I508" i="7"/>
  <c r="H508" i="7"/>
  <c r="I507" i="7"/>
  <c r="H507" i="7"/>
  <c r="I506" i="7"/>
  <c r="H506" i="7"/>
  <c r="I505" i="7"/>
  <c r="H505" i="7"/>
  <c r="I504" i="7"/>
  <c r="H504" i="7"/>
  <c r="I503" i="7"/>
  <c r="H503" i="7"/>
  <c r="I502" i="7"/>
  <c r="H502" i="7"/>
  <c r="I501" i="7"/>
  <c r="H501" i="7"/>
  <c r="I500" i="7"/>
  <c r="H500" i="7"/>
  <c r="I499" i="7"/>
  <c r="H499" i="7"/>
  <c r="I498" i="7"/>
  <c r="H498" i="7"/>
  <c r="I497" i="7"/>
  <c r="H497" i="7"/>
  <c r="I496" i="7"/>
  <c r="H496" i="7"/>
  <c r="I495" i="7"/>
  <c r="H495" i="7"/>
  <c r="I494" i="7"/>
  <c r="H494" i="7"/>
  <c r="I493" i="7"/>
  <c r="H493" i="7"/>
  <c r="I492" i="7"/>
  <c r="H492" i="7"/>
  <c r="I491" i="7"/>
  <c r="H491" i="7"/>
  <c r="I490" i="7"/>
  <c r="H490" i="7"/>
  <c r="I489" i="7"/>
  <c r="H489" i="7"/>
  <c r="I488" i="7"/>
  <c r="H488" i="7"/>
  <c r="I487" i="7"/>
  <c r="H487" i="7"/>
  <c r="I486" i="7"/>
  <c r="H486" i="7"/>
  <c r="I485" i="7"/>
  <c r="H485" i="7"/>
  <c r="I484" i="7"/>
  <c r="H484" i="7"/>
  <c r="I483" i="7"/>
  <c r="H483" i="7"/>
  <c r="I482" i="7"/>
  <c r="H482" i="7"/>
  <c r="I481" i="7"/>
  <c r="H481" i="7"/>
  <c r="I480" i="7"/>
  <c r="H480" i="7"/>
  <c r="I479" i="7"/>
  <c r="H479" i="7"/>
  <c r="I478" i="7"/>
  <c r="H478" i="7"/>
  <c r="I477" i="7"/>
  <c r="H477" i="7"/>
  <c r="I476" i="7"/>
  <c r="H476" i="7"/>
  <c r="I475" i="7"/>
  <c r="H475" i="7"/>
  <c r="I474" i="7"/>
  <c r="H474" i="7"/>
  <c r="I473" i="7"/>
  <c r="H473" i="7"/>
  <c r="I472" i="7"/>
  <c r="H472" i="7"/>
  <c r="I471" i="7"/>
  <c r="H471" i="7"/>
  <c r="I470" i="7"/>
  <c r="H470" i="7"/>
  <c r="I469" i="7"/>
  <c r="H469" i="7"/>
  <c r="I468" i="7"/>
  <c r="H468" i="7"/>
  <c r="I467" i="7"/>
  <c r="H467" i="7"/>
  <c r="I466" i="7"/>
  <c r="H466" i="7"/>
  <c r="I465" i="7"/>
  <c r="H465" i="7"/>
  <c r="I464" i="7"/>
  <c r="H464" i="7"/>
  <c r="I463" i="7"/>
  <c r="H463" i="7"/>
  <c r="I462" i="7"/>
  <c r="H462" i="7"/>
  <c r="I461" i="7"/>
  <c r="H461" i="7"/>
  <c r="I460" i="7"/>
  <c r="H460" i="7"/>
  <c r="I459" i="7"/>
  <c r="H459" i="7"/>
  <c r="I458" i="7"/>
  <c r="H458" i="7"/>
  <c r="I457" i="7"/>
  <c r="H457" i="7"/>
  <c r="I456" i="7"/>
  <c r="H456" i="7"/>
  <c r="I455" i="7"/>
  <c r="H455" i="7"/>
  <c r="I454" i="7"/>
  <c r="H454" i="7"/>
  <c r="I453" i="7"/>
  <c r="H453" i="7"/>
  <c r="I452" i="7"/>
  <c r="H452" i="7"/>
  <c r="I451" i="7"/>
  <c r="H451" i="7"/>
  <c r="I450" i="7"/>
  <c r="H450" i="7"/>
  <c r="I449" i="7"/>
  <c r="H449" i="7"/>
  <c r="I448" i="7"/>
  <c r="H448" i="7"/>
  <c r="I447" i="7"/>
  <c r="H447" i="7"/>
  <c r="I446" i="7"/>
  <c r="H446" i="7"/>
  <c r="I445" i="7"/>
  <c r="H445" i="7"/>
  <c r="I444" i="7"/>
  <c r="H444" i="7"/>
  <c r="I443" i="7"/>
  <c r="H443" i="7"/>
  <c r="I442" i="7"/>
  <c r="H442" i="7"/>
  <c r="I441" i="7"/>
  <c r="H441" i="7"/>
  <c r="I440" i="7"/>
  <c r="H440" i="7"/>
  <c r="I439" i="7"/>
  <c r="H439" i="7"/>
  <c r="I438" i="7"/>
  <c r="H438" i="7"/>
  <c r="I437" i="7"/>
  <c r="H437" i="7"/>
  <c r="I436" i="7"/>
  <c r="H436" i="7"/>
  <c r="I435" i="7"/>
  <c r="H435" i="7"/>
  <c r="I434" i="7"/>
  <c r="H434" i="7"/>
  <c r="I433" i="7"/>
  <c r="H433" i="7"/>
  <c r="I432" i="7"/>
  <c r="H432" i="7"/>
  <c r="I431" i="7"/>
  <c r="H431" i="7"/>
  <c r="I430" i="7"/>
  <c r="H430" i="7"/>
  <c r="I429" i="7"/>
  <c r="H429" i="7"/>
  <c r="I428" i="7"/>
  <c r="H428" i="7"/>
  <c r="I427" i="7"/>
  <c r="H427" i="7"/>
  <c r="I426" i="7"/>
  <c r="H426" i="7"/>
  <c r="I425" i="7"/>
  <c r="H425" i="7"/>
  <c r="I424" i="7"/>
  <c r="H424" i="7"/>
  <c r="I423" i="7"/>
  <c r="H423" i="7"/>
  <c r="I422" i="7"/>
  <c r="H422" i="7"/>
  <c r="I421" i="7"/>
  <c r="H421" i="7"/>
  <c r="I420" i="7"/>
  <c r="H420" i="7"/>
  <c r="I419" i="7"/>
  <c r="H419" i="7"/>
  <c r="I418" i="7"/>
  <c r="H418" i="7"/>
  <c r="I417" i="7"/>
  <c r="H417" i="7"/>
  <c r="I416" i="7"/>
  <c r="H416" i="7"/>
  <c r="I415" i="7"/>
  <c r="H415" i="7"/>
  <c r="I414" i="7"/>
  <c r="H414" i="7"/>
  <c r="I413" i="7"/>
  <c r="H413" i="7"/>
  <c r="I412" i="7"/>
  <c r="H412" i="7"/>
  <c r="I411" i="7"/>
  <c r="H411" i="7"/>
  <c r="I410" i="7"/>
  <c r="H410" i="7"/>
  <c r="I409" i="7"/>
  <c r="H409" i="7"/>
  <c r="I408" i="7"/>
  <c r="H408" i="7"/>
  <c r="I407" i="7"/>
  <c r="H407" i="7"/>
  <c r="I406" i="7"/>
  <c r="H406" i="7"/>
  <c r="I405" i="7"/>
  <c r="H405" i="7"/>
  <c r="I404" i="7"/>
  <c r="H404" i="7"/>
  <c r="I403" i="7"/>
  <c r="H403" i="7"/>
  <c r="I402" i="7"/>
  <c r="H402" i="7"/>
  <c r="I401" i="7"/>
  <c r="H401" i="7"/>
  <c r="I400" i="7"/>
  <c r="H400" i="7"/>
  <c r="I399" i="7"/>
  <c r="H399" i="7"/>
  <c r="I398" i="7"/>
  <c r="H398" i="7"/>
  <c r="I397" i="7"/>
  <c r="H397" i="7"/>
  <c r="I396" i="7"/>
  <c r="H396" i="7"/>
  <c r="I395" i="7"/>
  <c r="H395" i="7"/>
  <c r="I394" i="7"/>
  <c r="H394" i="7"/>
  <c r="I393" i="7"/>
  <c r="H393" i="7"/>
  <c r="I392" i="7"/>
  <c r="H392" i="7"/>
  <c r="I391" i="7"/>
  <c r="H391" i="7"/>
  <c r="I390" i="7"/>
  <c r="H390" i="7"/>
  <c r="I389" i="7"/>
  <c r="H389" i="7"/>
  <c r="I388" i="7"/>
  <c r="H388" i="7"/>
  <c r="I387" i="7"/>
  <c r="H387" i="7"/>
  <c r="I386" i="7"/>
  <c r="H386" i="7"/>
  <c r="I385" i="7"/>
  <c r="H385" i="7"/>
  <c r="I384" i="7"/>
  <c r="H384" i="7"/>
  <c r="I383" i="7"/>
  <c r="H383" i="7"/>
  <c r="I382" i="7"/>
  <c r="H382" i="7"/>
  <c r="I381" i="7"/>
  <c r="H381" i="7"/>
  <c r="I380" i="7"/>
  <c r="H380" i="7"/>
  <c r="I379" i="7"/>
  <c r="H379" i="7"/>
  <c r="I378" i="7"/>
  <c r="H378" i="7"/>
  <c r="I377" i="7"/>
  <c r="H377" i="7"/>
  <c r="I376" i="7"/>
  <c r="H376" i="7"/>
  <c r="I375" i="7"/>
  <c r="H375" i="7"/>
  <c r="I374" i="7"/>
  <c r="H374" i="7"/>
  <c r="I373" i="7"/>
  <c r="H373" i="7"/>
  <c r="I372" i="7"/>
  <c r="H372" i="7"/>
  <c r="I371" i="7"/>
  <c r="H371" i="7"/>
  <c r="I370" i="7"/>
  <c r="H370" i="7"/>
  <c r="I369" i="7"/>
  <c r="H369" i="7"/>
  <c r="I368" i="7"/>
  <c r="H368" i="7"/>
  <c r="I367" i="7"/>
  <c r="H367" i="7"/>
  <c r="I366" i="7"/>
  <c r="H366" i="7"/>
  <c r="I365" i="7"/>
  <c r="H365" i="7"/>
  <c r="I364" i="7"/>
  <c r="H364" i="7"/>
  <c r="I363" i="7"/>
  <c r="H363" i="7"/>
  <c r="I362" i="7"/>
  <c r="H362" i="7"/>
  <c r="I361" i="7"/>
  <c r="H361" i="7"/>
  <c r="I360" i="7"/>
  <c r="H360" i="7"/>
  <c r="I359" i="7"/>
  <c r="H359" i="7"/>
  <c r="I358" i="7"/>
  <c r="H358" i="7"/>
  <c r="I357" i="7"/>
  <c r="H357" i="7"/>
  <c r="I356" i="7"/>
  <c r="H356" i="7"/>
  <c r="I355" i="7"/>
  <c r="H355" i="7"/>
  <c r="I354" i="7"/>
  <c r="H354" i="7"/>
  <c r="I353" i="7"/>
  <c r="H353" i="7"/>
  <c r="I352" i="7"/>
  <c r="H352" i="7"/>
  <c r="I351" i="7"/>
  <c r="H351" i="7"/>
  <c r="I350" i="7"/>
  <c r="H350" i="7"/>
  <c r="I349" i="7"/>
  <c r="H349" i="7"/>
  <c r="I348" i="7"/>
  <c r="H348" i="7"/>
  <c r="I347" i="7"/>
  <c r="H347" i="7"/>
  <c r="I346" i="7"/>
  <c r="H346" i="7"/>
  <c r="I345" i="7"/>
  <c r="H345" i="7"/>
  <c r="I344" i="7"/>
  <c r="H344" i="7"/>
  <c r="I343" i="7"/>
  <c r="H343" i="7"/>
  <c r="I342" i="7"/>
  <c r="H342" i="7"/>
  <c r="I341" i="7"/>
  <c r="H341" i="7"/>
  <c r="I340" i="7"/>
  <c r="H340" i="7"/>
  <c r="I339" i="7"/>
  <c r="H339" i="7"/>
  <c r="I338" i="7"/>
  <c r="H338" i="7"/>
  <c r="I337" i="7"/>
  <c r="H337" i="7"/>
  <c r="I336" i="7"/>
  <c r="H336" i="7"/>
  <c r="I335" i="7"/>
  <c r="H335" i="7"/>
  <c r="I334" i="7"/>
  <c r="H334" i="7"/>
  <c r="I333" i="7"/>
  <c r="H333" i="7"/>
  <c r="I332" i="7"/>
  <c r="H332" i="7"/>
  <c r="I331" i="7"/>
  <c r="H331" i="7"/>
  <c r="I330" i="7"/>
  <c r="H330" i="7"/>
  <c r="I329" i="7"/>
  <c r="H329" i="7"/>
  <c r="I328" i="7"/>
  <c r="H328" i="7"/>
  <c r="I327" i="7"/>
  <c r="H327" i="7"/>
  <c r="I326" i="7"/>
  <c r="H326" i="7"/>
  <c r="I325" i="7"/>
  <c r="H325" i="7"/>
  <c r="I324" i="7"/>
  <c r="H324" i="7"/>
  <c r="I323" i="7"/>
  <c r="H323" i="7"/>
  <c r="I322" i="7"/>
  <c r="H322" i="7"/>
  <c r="I321" i="7"/>
  <c r="H321" i="7"/>
  <c r="I320" i="7"/>
  <c r="H320" i="7"/>
  <c r="I319" i="7"/>
  <c r="H319" i="7"/>
  <c r="I318" i="7"/>
  <c r="H318" i="7"/>
  <c r="I317" i="7"/>
  <c r="H317" i="7"/>
  <c r="I316" i="7"/>
  <c r="H316" i="7"/>
  <c r="I315" i="7"/>
  <c r="H315" i="7"/>
  <c r="I314" i="7"/>
  <c r="H314" i="7"/>
  <c r="I313" i="7"/>
  <c r="H313" i="7"/>
  <c r="I312" i="7"/>
  <c r="H312" i="7"/>
  <c r="I311" i="7"/>
  <c r="H311" i="7"/>
  <c r="I310" i="7"/>
  <c r="H310" i="7"/>
  <c r="I309" i="7"/>
  <c r="H309" i="7"/>
  <c r="I308" i="7"/>
  <c r="H308" i="7"/>
  <c r="I307" i="7"/>
  <c r="H307" i="7"/>
  <c r="I306" i="7"/>
  <c r="H306" i="7"/>
  <c r="I305" i="7"/>
  <c r="H305" i="7"/>
  <c r="I304" i="7"/>
  <c r="H304" i="7"/>
  <c r="I303" i="7"/>
  <c r="H303" i="7"/>
  <c r="I302" i="7"/>
  <c r="H302" i="7"/>
  <c r="I301" i="7"/>
  <c r="H301" i="7"/>
  <c r="I300" i="7"/>
  <c r="H300" i="7"/>
  <c r="I299" i="7"/>
  <c r="H299" i="7"/>
  <c r="I298" i="7"/>
  <c r="H298" i="7"/>
  <c r="I297" i="7"/>
  <c r="H297" i="7"/>
  <c r="I296" i="7"/>
  <c r="H296" i="7"/>
  <c r="I295" i="7"/>
  <c r="H295" i="7"/>
  <c r="I294" i="7"/>
  <c r="H294" i="7"/>
  <c r="I293" i="7"/>
  <c r="H293" i="7"/>
  <c r="I292" i="7"/>
  <c r="H292" i="7"/>
  <c r="I291" i="7"/>
  <c r="H291" i="7"/>
  <c r="I290" i="7"/>
  <c r="H290" i="7"/>
  <c r="I289" i="7"/>
  <c r="H289" i="7"/>
  <c r="I288" i="7"/>
  <c r="H288" i="7"/>
  <c r="I287" i="7"/>
  <c r="H287" i="7"/>
  <c r="I286" i="7"/>
  <c r="H286" i="7"/>
  <c r="I285" i="7"/>
  <c r="H285" i="7"/>
  <c r="I284" i="7"/>
  <c r="H284" i="7"/>
  <c r="I283" i="7"/>
  <c r="H283" i="7"/>
  <c r="I282" i="7"/>
  <c r="H282" i="7"/>
  <c r="I281" i="7"/>
  <c r="H281" i="7"/>
  <c r="I280" i="7"/>
  <c r="H280" i="7"/>
  <c r="I279" i="7"/>
  <c r="H279" i="7"/>
  <c r="I278" i="7"/>
  <c r="H278" i="7"/>
  <c r="I277" i="7"/>
  <c r="H277" i="7"/>
  <c r="I276" i="7"/>
  <c r="H276" i="7"/>
  <c r="I275" i="7"/>
  <c r="H275" i="7"/>
  <c r="I274" i="7"/>
  <c r="H274" i="7"/>
  <c r="I273" i="7"/>
  <c r="H273" i="7"/>
  <c r="I272" i="7"/>
  <c r="H272" i="7"/>
  <c r="I271" i="7"/>
  <c r="H271" i="7"/>
  <c r="I270" i="7"/>
  <c r="H270" i="7"/>
  <c r="I269" i="7"/>
  <c r="H269" i="7"/>
  <c r="I268" i="7"/>
  <c r="H268" i="7"/>
  <c r="I267" i="7"/>
  <c r="H267" i="7"/>
  <c r="I266" i="7"/>
  <c r="H266" i="7"/>
  <c r="I265" i="7"/>
  <c r="H265" i="7"/>
  <c r="I264" i="7"/>
  <c r="H264" i="7"/>
  <c r="I263" i="7"/>
  <c r="H263" i="7"/>
  <c r="I262" i="7"/>
  <c r="H262" i="7"/>
  <c r="I261" i="7"/>
  <c r="H261" i="7"/>
  <c r="I260" i="7"/>
  <c r="H260" i="7"/>
  <c r="I259" i="7"/>
  <c r="H259" i="7"/>
  <c r="I258" i="7"/>
  <c r="H258" i="7"/>
  <c r="I257" i="7"/>
  <c r="H257" i="7"/>
  <c r="I256" i="7"/>
  <c r="H256" i="7"/>
  <c r="I255" i="7"/>
  <c r="H255" i="7"/>
  <c r="I254" i="7"/>
  <c r="H254" i="7"/>
  <c r="I253" i="7"/>
  <c r="H253" i="7"/>
  <c r="I252" i="7"/>
  <c r="H252" i="7"/>
  <c r="I251" i="7"/>
  <c r="H251" i="7"/>
  <c r="I250" i="7"/>
  <c r="H250" i="7"/>
  <c r="I249" i="7"/>
  <c r="H249" i="7"/>
  <c r="I248" i="7"/>
  <c r="H248" i="7"/>
  <c r="I247" i="7"/>
  <c r="H247" i="7"/>
  <c r="I246" i="7"/>
  <c r="H246" i="7"/>
  <c r="I245" i="7"/>
  <c r="H245" i="7"/>
  <c r="I244" i="7"/>
  <c r="H244" i="7"/>
  <c r="I243" i="7"/>
  <c r="H243" i="7"/>
  <c r="I242" i="7"/>
  <c r="H242" i="7"/>
  <c r="I241" i="7"/>
  <c r="H241" i="7"/>
  <c r="I240" i="7"/>
  <c r="H240" i="7"/>
  <c r="I239" i="7"/>
  <c r="H239" i="7"/>
  <c r="I238" i="7"/>
  <c r="H238" i="7"/>
  <c r="I237" i="7"/>
  <c r="H237" i="7"/>
  <c r="I236" i="7"/>
  <c r="H236" i="7"/>
  <c r="I235" i="7"/>
  <c r="H235" i="7"/>
  <c r="I234" i="7"/>
  <c r="H234" i="7"/>
  <c r="I233" i="7"/>
  <c r="H233" i="7"/>
  <c r="I232" i="7"/>
  <c r="H232" i="7"/>
  <c r="I231" i="7"/>
  <c r="H231" i="7"/>
  <c r="I230" i="7"/>
  <c r="H230" i="7"/>
  <c r="I229" i="7"/>
  <c r="H229" i="7"/>
  <c r="I228" i="7"/>
  <c r="H228" i="7"/>
  <c r="I227" i="7"/>
  <c r="H227" i="7"/>
  <c r="I226" i="7"/>
  <c r="H226" i="7"/>
  <c r="I225" i="7"/>
  <c r="H225" i="7"/>
  <c r="I224" i="7"/>
  <c r="H224" i="7"/>
  <c r="I223" i="7"/>
  <c r="H223" i="7"/>
  <c r="I222" i="7"/>
  <c r="H222" i="7"/>
  <c r="I221" i="7"/>
  <c r="H221" i="7"/>
  <c r="I220" i="7"/>
  <c r="H220" i="7"/>
  <c r="I219" i="7"/>
  <c r="H219" i="7"/>
  <c r="I218" i="7"/>
  <c r="H218" i="7"/>
  <c r="I217" i="7"/>
  <c r="H217" i="7"/>
  <c r="I216" i="7"/>
  <c r="H216" i="7"/>
  <c r="I215" i="7"/>
  <c r="H215" i="7"/>
  <c r="I214" i="7"/>
  <c r="H214" i="7"/>
  <c r="I213" i="7"/>
  <c r="H213" i="7"/>
  <c r="I212" i="7"/>
  <c r="H212" i="7"/>
  <c r="I211" i="7"/>
  <c r="H211" i="7"/>
  <c r="I210" i="7"/>
  <c r="H210" i="7"/>
  <c r="I209" i="7"/>
  <c r="H209" i="7"/>
  <c r="I208" i="7"/>
  <c r="H208" i="7"/>
  <c r="I207" i="7"/>
  <c r="H207" i="7"/>
  <c r="I206" i="7"/>
  <c r="H206" i="7"/>
  <c r="I205" i="7"/>
  <c r="H205" i="7"/>
  <c r="I204" i="7"/>
  <c r="H204" i="7"/>
  <c r="I203" i="7"/>
  <c r="H203" i="7"/>
  <c r="I202" i="7"/>
  <c r="H202" i="7"/>
  <c r="I201" i="7"/>
  <c r="H201" i="7"/>
  <c r="I200" i="7"/>
  <c r="H200" i="7"/>
  <c r="I199" i="7"/>
  <c r="H199" i="7"/>
  <c r="I198" i="7"/>
  <c r="H198" i="7"/>
  <c r="I197" i="7"/>
  <c r="H197" i="7"/>
  <c r="I196" i="7"/>
  <c r="H196" i="7"/>
  <c r="I195" i="7"/>
  <c r="H195" i="7"/>
  <c r="I194" i="7"/>
  <c r="H194" i="7"/>
  <c r="I193" i="7"/>
  <c r="H193" i="7"/>
  <c r="I192" i="7"/>
  <c r="H192" i="7"/>
  <c r="I191" i="7"/>
  <c r="H191" i="7"/>
  <c r="I190" i="7"/>
  <c r="H190" i="7"/>
  <c r="I189" i="7"/>
  <c r="H189" i="7"/>
  <c r="I188" i="7"/>
  <c r="H188" i="7"/>
  <c r="I187" i="7"/>
  <c r="H187" i="7"/>
  <c r="I186" i="7"/>
  <c r="H186" i="7"/>
  <c r="I185" i="7"/>
  <c r="H185" i="7"/>
  <c r="I184" i="7"/>
  <c r="H184" i="7"/>
  <c r="I183" i="7"/>
  <c r="H183" i="7"/>
  <c r="I182" i="7"/>
  <c r="H182" i="7"/>
  <c r="I181" i="7"/>
  <c r="H181" i="7"/>
  <c r="I180" i="7"/>
  <c r="H180" i="7"/>
  <c r="I179" i="7"/>
  <c r="H179" i="7"/>
  <c r="I178" i="7"/>
  <c r="H178" i="7"/>
  <c r="I177" i="7"/>
  <c r="H177" i="7"/>
  <c r="I176" i="7"/>
  <c r="H176" i="7"/>
  <c r="I175" i="7"/>
  <c r="H175" i="7"/>
  <c r="I174" i="7"/>
  <c r="H174" i="7"/>
  <c r="I173" i="7"/>
  <c r="H173" i="7"/>
  <c r="I172" i="7"/>
  <c r="H172" i="7"/>
  <c r="I171" i="7"/>
  <c r="H171" i="7"/>
  <c r="I170" i="7"/>
  <c r="H170" i="7"/>
  <c r="I169" i="7"/>
  <c r="H169" i="7"/>
  <c r="I168" i="7"/>
  <c r="H168" i="7"/>
  <c r="I167" i="7"/>
  <c r="H167" i="7"/>
  <c r="I166" i="7"/>
  <c r="H166" i="7"/>
  <c r="I165" i="7"/>
  <c r="H165" i="7"/>
  <c r="I164" i="7"/>
  <c r="H164" i="7"/>
  <c r="I163" i="7"/>
  <c r="H163" i="7"/>
  <c r="I162" i="7"/>
  <c r="H162" i="7"/>
  <c r="I161" i="7"/>
  <c r="H161" i="7"/>
  <c r="I160" i="7"/>
  <c r="H160" i="7"/>
  <c r="I159" i="7"/>
  <c r="H159" i="7"/>
  <c r="I158" i="7"/>
  <c r="H158" i="7"/>
  <c r="I157" i="7"/>
  <c r="H157" i="7"/>
  <c r="I156" i="7"/>
  <c r="H156" i="7"/>
  <c r="I155" i="7"/>
  <c r="H155" i="7"/>
  <c r="I154" i="7"/>
  <c r="H154" i="7"/>
  <c r="I153" i="7"/>
  <c r="H153" i="7"/>
  <c r="I152" i="7"/>
  <c r="H152" i="7"/>
  <c r="I151" i="7"/>
  <c r="H151" i="7"/>
  <c r="I150" i="7"/>
  <c r="H150" i="7"/>
  <c r="I149" i="7"/>
  <c r="H149" i="7"/>
  <c r="I148" i="7"/>
  <c r="H148" i="7"/>
  <c r="I147" i="7"/>
  <c r="H147" i="7"/>
  <c r="I146" i="7"/>
  <c r="H146" i="7"/>
  <c r="I145" i="7"/>
  <c r="H145" i="7"/>
  <c r="I144" i="7"/>
  <c r="H144" i="7"/>
  <c r="I143" i="7"/>
  <c r="H143" i="7"/>
  <c r="I142" i="7"/>
  <c r="H142" i="7"/>
  <c r="I141" i="7"/>
  <c r="H141" i="7"/>
  <c r="I140" i="7"/>
  <c r="H140" i="7"/>
  <c r="I139" i="7"/>
  <c r="H139" i="7"/>
  <c r="I138" i="7"/>
  <c r="H138" i="7"/>
  <c r="I137" i="7"/>
  <c r="H137" i="7"/>
  <c r="I136" i="7"/>
  <c r="H136" i="7"/>
  <c r="I135" i="7"/>
  <c r="H135" i="7"/>
  <c r="I134" i="7"/>
  <c r="H134" i="7"/>
  <c r="I133" i="7"/>
  <c r="H133" i="7"/>
  <c r="I132" i="7"/>
  <c r="H132" i="7"/>
  <c r="I131" i="7"/>
  <c r="H131" i="7"/>
  <c r="I130" i="7"/>
  <c r="H130" i="7"/>
  <c r="I129" i="7"/>
  <c r="H129" i="7"/>
  <c r="I128" i="7"/>
  <c r="H128" i="7"/>
  <c r="I127" i="7"/>
  <c r="H127" i="7"/>
  <c r="I126" i="7"/>
  <c r="H126" i="7"/>
  <c r="I125" i="7"/>
  <c r="H125" i="7"/>
  <c r="I124" i="7"/>
  <c r="H124" i="7"/>
  <c r="I123" i="7"/>
  <c r="H123" i="7"/>
  <c r="I122" i="7"/>
  <c r="H122" i="7"/>
  <c r="I121" i="7"/>
  <c r="H121" i="7"/>
  <c r="I120" i="7"/>
  <c r="H120" i="7"/>
  <c r="I119" i="7"/>
  <c r="H119" i="7"/>
  <c r="I118" i="7"/>
  <c r="H118" i="7"/>
  <c r="I117" i="7"/>
  <c r="H117" i="7"/>
  <c r="I116" i="7"/>
  <c r="H116" i="7"/>
  <c r="I115" i="7"/>
  <c r="H115" i="7"/>
  <c r="I114" i="7"/>
  <c r="H114" i="7"/>
  <c r="I113" i="7"/>
  <c r="H113" i="7"/>
  <c r="I112" i="7"/>
  <c r="H112" i="7"/>
  <c r="I111" i="7"/>
  <c r="H111" i="7"/>
  <c r="I110" i="7"/>
  <c r="H110" i="7"/>
  <c r="I109" i="7"/>
  <c r="H109" i="7"/>
  <c r="I108" i="7"/>
  <c r="H108" i="7"/>
  <c r="I107" i="7"/>
  <c r="H107" i="7"/>
  <c r="I106" i="7"/>
  <c r="H106" i="7"/>
  <c r="I105" i="7"/>
  <c r="H105" i="7"/>
  <c r="I104" i="7"/>
  <c r="H104" i="7"/>
  <c r="I103" i="7"/>
  <c r="H103" i="7"/>
  <c r="I102" i="7"/>
  <c r="H102" i="7"/>
  <c r="I101" i="7"/>
  <c r="H101" i="7"/>
  <c r="I100" i="7"/>
  <c r="H100" i="7"/>
  <c r="I99" i="7"/>
  <c r="H99" i="7"/>
  <c r="I98" i="7"/>
  <c r="H98" i="7"/>
  <c r="I97" i="7"/>
  <c r="H97" i="7"/>
  <c r="I96" i="7"/>
  <c r="H96" i="7"/>
  <c r="I95" i="7"/>
  <c r="H95" i="7"/>
  <c r="I94" i="7"/>
  <c r="H94" i="7"/>
  <c r="I93" i="7"/>
  <c r="H93" i="7"/>
  <c r="I92" i="7"/>
  <c r="H92" i="7"/>
  <c r="I91" i="7"/>
  <c r="H91" i="7"/>
  <c r="I90" i="7"/>
  <c r="H90" i="7"/>
  <c r="I89" i="7"/>
  <c r="H89" i="7"/>
  <c r="I88" i="7"/>
  <c r="H88" i="7"/>
  <c r="I87" i="7"/>
  <c r="H87" i="7"/>
  <c r="I86" i="7"/>
  <c r="H86" i="7"/>
  <c r="I85" i="7"/>
  <c r="H85" i="7"/>
  <c r="I84" i="7"/>
  <c r="H84" i="7"/>
  <c r="I83" i="7"/>
  <c r="H83" i="7"/>
  <c r="I82" i="7"/>
  <c r="H82" i="7"/>
  <c r="I81" i="7"/>
  <c r="H81" i="7"/>
  <c r="I80" i="7"/>
  <c r="H80" i="7"/>
  <c r="I79" i="7"/>
  <c r="H79" i="7"/>
  <c r="I78" i="7"/>
  <c r="H78" i="7"/>
  <c r="I77" i="7"/>
  <c r="H77" i="7"/>
  <c r="I76" i="7"/>
  <c r="H76" i="7"/>
  <c r="I75" i="7"/>
  <c r="H75" i="7"/>
  <c r="I74" i="7"/>
  <c r="H74" i="7"/>
  <c r="I73" i="7"/>
  <c r="H73" i="7"/>
  <c r="I72" i="7"/>
  <c r="H72" i="7"/>
  <c r="I71" i="7"/>
  <c r="H71" i="7"/>
  <c r="I70" i="7"/>
  <c r="H70" i="7"/>
  <c r="I69" i="7"/>
  <c r="H69" i="7"/>
  <c r="I68" i="7"/>
  <c r="H68" i="7"/>
  <c r="I67" i="7"/>
  <c r="H67" i="7"/>
  <c r="I66" i="7"/>
  <c r="H66" i="7"/>
  <c r="I65" i="7"/>
  <c r="H65" i="7"/>
  <c r="I64" i="7"/>
  <c r="H64" i="7"/>
  <c r="I63" i="7"/>
  <c r="H63" i="7"/>
  <c r="I62" i="7"/>
  <c r="H62" i="7"/>
  <c r="I61" i="7"/>
  <c r="H61" i="7"/>
  <c r="I60" i="7"/>
  <c r="H60" i="7"/>
  <c r="I59" i="7"/>
  <c r="H59" i="7"/>
  <c r="I58" i="7"/>
  <c r="H58" i="7"/>
  <c r="I57" i="7"/>
  <c r="H57" i="7"/>
  <c r="I56" i="7"/>
  <c r="H56" i="7"/>
  <c r="I55" i="7"/>
  <c r="H55" i="7"/>
  <c r="I54" i="7"/>
  <c r="H54" i="7"/>
  <c r="I53" i="7"/>
  <c r="H53" i="7"/>
  <c r="I52" i="7"/>
  <c r="H52" i="7"/>
  <c r="I51" i="7"/>
  <c r="H51" i="7"/>
  <c r="I50" i="7"/>
  <c r="H50" i="7"/>
  <c r="I49" i="7"/>
  <c r="H49" i="7"/>
  <c r="I48" i="7"/>
  <c r="H48" i="7"/>
  <c r="I47" i="7"/>
  <c r="H47" i="7"/>
  <c r="I46" i="7"/>
  <c r="H46" i="7"/>
  <c r="I45" i="7"/>
  <c r="H45" i="7"/>
  <c r="I44" i="7"/>
  <c r="H44" i="7"/>
  <c r="I43" i="7"/>
  <c r="H43" i="7"/>
  <c r="I42" i="7"/>
  <c r="H42" i="7"/>
  <c r="I41" i="7"/>
  <c r="H41" i="7"/>
  <c r="I40" i="7"/>
  <c r="H40" i="7"/>
  <c r="I39" i="7"/>
  <c r="H39" i="7"/>
  <c r="I38" i="7"/>
  <c r="H38" i="7"/>
  <c r="I37" i="7"/>
  <c r="H37" i="7"/>
  <c r="I36" i="7"/>
  <c r="H36" i="7"/>
  <c r="I35" i="7"/>
  <c r="H35" i="7"/>
  <c r="I34" i="7"/>
  <c r="H34" i="7"/>
  <c r="I33" i="7"/>
  <c r="H33" i="7"/>
  <c r="I32" i="7"/>
  <c r="H32" i="7"/>
  <c r="I31" i="7"/>
  <c r="H31" i="7"/>
  <c r="I30" i="7"/>
  <c r="H30" i="7"/>
  <c r="I29" i="7"/>
  <c r="H29" i="7"/>
  <c r="I28" i="7"/>
  <c r="H28" i="7"/>
  <c r="I27" i="7"/>
  <c r="H27" i="7"/>
  <c r="I26" i="7"/>
  <c r="H26" i="7"/>
  <c r="I25" i="7"/>
  <c r="H25" i="7"/>
  <c r="I24" i="7"/>
  <c r="H24" i="7"/>
  <c r="I23" i="7"/>
  <c r="H23" i="7"/>
  <c r="I22" i="7"/>
  <c r="H22" i="7"/>
  <c r="I21" i="7"/>
  <c r="H21" i="7"/>
  <c r="I20" i="7"/>
  <c r="H20" i="7"/>
  <c r="I19" i="7"/>
  <c r="H19" i="7"/>
  <c r="I18" i="7"/>
  <c r="H18" i="7"/>
  <c r="I17" i="7"/>
  <c r="H17" i="7"/>
  <c r="I16" i="7"/>
  <c r="H16" i="7"/>
  <c r="I15" i="7"/>
  <c r="H15" i="7"/>
  <c r="I14" i="7"/>
  <c r="H14" i="7"/>
  <c r="I13" i="7"/>
  <c r="H13" i="7"/>
  <c r="I12" i="7"/>
  <c r="H12" i="7"/>
  <c r="I11" i="7"/>
  <c r="H11" i="7"/>
  <c r="I10" i="7"/>
  <c r="H10" i="7"/>
  <c r="I9" i="7"/>
  <c r="H9" i="7"/>
  <c r="I8" i="7"/>
  <c r="H8" i="7"/>
  <c r="I7" i="7"/>
  <c r="H7" i="7"/>
  <c r="I6" i="7"/>
  <c r="H6" i="7"/>
  <c r="I5" i="7"/>
  <c r="H5" i="7"/>
  <c r="I4" i="7"/>
  <c r="H4" i="7"/>
  <c r="I3" i="7"/>
  <c r="H3" i="7"/>
  <c r="I2" i="7"/>
  <c r="H2" i="7"/>
  <c r="AK268" i="12" l="1" a="1"/>
  <c r="AK268" i="12" s="1"/>
  <c r="AK242" i="12" a="1"/>
  <c r="AK242" i="12" s="1"/>
  <c r="Q34" i="12"/>
  <c r="O36" i="12"/>
  <c r="Q36" i="12" s="1"/>
  <c r="AK312" i="12" a="1"/>
  <c r="AK312" i="12" s="1"/>
  <c r="AK281" i="12" a="1"/>
  <c r="AK281" i="12" s="1"/>
  <c r="AK241" i="12" a="1"/>
  <c r="AK241" i="12" s="1"/>
  <c r="AK222" i="12" a="1"/>
  <c r="AK222" i="12" s="1"/>
  <c r="AK206" i="12" a="1"/>
  <c r="AK206" i="12" s="1"/>
  <c r="AK190" i="12" a="1"/>
  <c r="AK190" i="12" s="1"/>
  <c r="AK324" i="12" a="1"/>
  <c r="AK324" i="12" s="1"/>
  <c r="AK269" i="12" a="1"/>
  <c r="AK269" i="12" s="1"/>
  <c r="AK245" i="12" a="1"/>
  <c r="AK245" i="12" s="1"/>
  <c r="AK226" i="12" a="1"/>
  <c r="AK226" i="12" s="1"/>
  <c r="AK27" i="12" a="1"/>
  <c r="AK27" i="12" s="1"/>
  <c r="AK265" i="12" a="1"/>
  <c r="AK265" i="12" s="1"/>
  <c r="AK261" i="12" a="1"/>
  <c r="AK261" i="12" s="1"/>
  <c r="AK308" i="12" a="1"/>
  <c r="AK308" i="12" s="1"/>
  <c r="AK304" i="12" a="1"/>
  <c r="AK304" i="12" s="1"/>
  <c r="AK289" i="12" a="1"/>
  <c r="AK289" i="12" s="1"/>
  <c r="AK276" i="12" a="1"/>
  <c r="AK276" i="12" s="1"/>
  <c r="AK272" i="12" a="1"/>
  <c r="AK272" i="12" s="1"/>
  <c r="O25" i="12"/>
  <c r="Q25" i="12" s="1"/>
  <c r="O47" i="12"/>
  <c r="Q47" i="12" s="1"/>
  <c r="AK217" i="12" a="1"/>
  <c r="AK217" i="12" s="1"/>
  <c r="AK213" i="12" a="1"/>
  <c r="AK213" i="12" s="1"/>
  <c r="AK209" i="12" a="1"/>
  <c r="AK209" i="12" s="1"/>
  <c r="AK205" i="12" a="1"/>
  <c r="AK205" i="12" s="1"/>
  <c r="AK201" i="12" a="1"/>
  <c r="AK201" i="12" s="1"/>
  <c r="AK197" i="12" a="1"/>
  <c r="AK197" i="12" s="1"/>
  <c r="AK193" i="12" a="1"/>
  <c r="AK193" i="12" s="1"/>
  <c r="AK189" i="12" a="1"/>
  <c r="AK189" i="12" s="1"/>
  <c r="AK185" i="12" a="1"/>
  <c r="AK185" i="12" s="1"/>
  <c r="AK181" i="12" a="1"/>
  <c r="AK181" i="12" s="1"/>
  <c r="AK177" i="12" a="1"/>
  <c r="AK177" i="12" s="1"/>
  <c r="AK173" i="12" a="1"/>
  <c r="AK173" i="12" s="1"/>
  <c r="AK169" i="12" a="1"/>
  <c r="AK169" i="12" s="1"/>
  <c r="AK165" i="12" a="1"/>
  <c r="AK165" i="12" s="1"/>
  <c r="AK161" i="12" a="1"/>
  <c r="AK161" i="12" s="1"/>
  <c r="AK157" i="12" a="1"/>
  <c r="AK157" i="12" s="1"/>
  <c r="AK153" i="12" a="1"/>
  <c r="AK153" i="12" s="1"/>
  <c r="AK149" i="12" a="1"/>
  <c r="AK149" i="12" s="1"/>
  <c r="AK145" i="12" a="1"/>
  <c r="AK145" i="12" s="1"/>
  <c r="AK141" i="12" a="1"/>
  <c r="AK141" i="12" s="1"/>
  <c r="AK137" i="12" a="1"/>
  <c r="AK137" i="12" s="1"/>
  <c r="AK133" i="12" a="1"/>
  <c r="AK133" i="12" s="1"/>
  <c r="AK129" i="12" a="1"/>
  <c r="AK129" i="12" s="1"/>
  <c r="AK125" i="12" a="1"/>
  <c r="AK125" i="12" s="1"/>
  <c r="AK121" i="12" a="1"/>
  <c r="AK121" i="12" s="1"/>
  <c r="AK117" i="12" a="1"/>
  <c r="AK117" i="12" s="1"/>
  <c r="AK113" i="12" a="1"/>
  <c r="AK113" i="12" s="1"/>
  <c r="AK109" i="12" a="1"/>
  <c r="AK109" i="12" s="1"/>
  <c r="AK105" i="12" a="1"/>
  <c r="AK105" i="12" s="1"/>
  <c r="AK101" i="12" a="1"/>
  <c r="AK101" i="12" s="1"/>
  <c r="AK97" i="12" a="1"/>
  <c r="AK97" i="12" s="1"/>
  <c r="AK93" i="12" a="1"/>
  <c r="AK93" i="12" s="1"/>
  <c r="AK89" i="12" a="1"/>
  <c r="AK89" i="12" s="1"/>
  <c r="AK85" i="12" a="1"/>
  <c r="AK85" i="12" s="1"/>
  <c r="AK81" i="12" a="1"/>
  <c r="AK81" i="12" s="1"/>
  <c r="AK77" i="12" a="1"/>
  <c r="AK77" i="12" s="1"/>
  <c r="AK73" i="12" a="1"/>
  <c r="AK73" i="12" s="1"/>
  <c r="AK69" i="12" a="1"/>
  <c r="AK69" i="12" s="1"/>
  <c r="AK65" i="12" a="1"/>
  <c r="AK65" i="12" s="1"/>
  <c r="AK61" i="12" a="1"/>
  <c r="AK61" i="12" s="1"/>
  <c r="AK57" i="12" a="1"/>
  <c r="AK57" i="12" s="1"/>
  <c r="AK53" i="12" a="1"/>
  <c r="AK53" i="12" s="1"/>
  <c r="O46" i="12"/>
  <c r="Q46" i="12" s="1"/>
  <c r="AK39" i="12" a="1"/>
  <c r="AK39" i="12" s="1"/>
  <c r="O37" i="12"/>
  <c r="Q37" i="12" s="1"/>
  <c r="AK19" i="12" a="1"/>
  <c r="AK19" i="12" s="1"/>
  <c r="H105" i="10"/>
  <c r="I105" i="10"/>
  <c r="H89" i="10"/>
  <c r="I89" i="10"/>
  <c r="H73" i="10"/>
  <c r="I73" i="10"/>
  <c r="H57" i="10"/>
  <c r="I57" i="10"/>
  <c r="H41" i="10"/>
  <c r="I41" i="10"/>
  <c r="H25" i="10"/>
  <c r="I25" i="10"/>
  <c r="H9" i="10"/>
  <c r="I9" i="10"/>
  <c r="I615" i="10"/>
  <c r="I599" i="10"/>
  <c r="I583" i="10"/>
  <c r="I567" i="10"/>
  <c r="I551" i="10"/>
  <c r="I535" i="10"/>
  <c r="I519" i="10"/>
  <c r="I503" i="10"/>
  <c r="I487" i="10"/>
  <c r="I471" i="10"/>
  <c r="I455" i="10"/>
  <c r="I439" i="10"/>
  <c r="I423" i="10"/>
  <c r="I407" i="10"/>
  <c r="I411" i="10"/>
  <c r="H307" i="10"/>
  <c r="I307" i="10"/>
  <c r="H291" i="10"/>
  <c r="I291" i="10"/>
  <c r="H275" i="10"/>
  <c r="I275" i="10"/>
  <c r="H259" i="10"/>
  <c r="I259" i="10"/>
  <c r="H243" i="10"/>
  <c r="I243" i="10"/>
  <c r="H227" i="10"/>
  <c r="I227" i="10"/>
  <c r="H211" i="10"/>
  <c r="I211" i="10"/>
  <c r="H195" i="10"/>
  <c r="I195" i="10"/>
  <c r="H179" i="10"/>
  <c r="I179" i="10"/>
  <c r="I621" i="10"/>
  <c r="I605" i="10"/>
  <c r="I589" i="10"/>
  <c r="I573" i="10"/>
  <c r="I557" i="10"/>
  <c r="I541" i="10"/>
  <c r="I525" i="10"/>
  <c r="I509" i="10"/>
  <c r="I493" i="10"/>
  <c r="I477" i="10"/>
  <c r="I461" i="10"/>
  <c r="I445" i="10"/>
  <c r="I429" i="10"/>
  <c r="I413" i="10"/>
  <c r="I561" i="10"/>
  <c r="I545" i="10"/>
  <c r="I529" i="10"/>
  <c r="I513" i="10"/>
  <c r="I497" i="10"/>
  <c r="I481" i="10"/>
  <c r="I465" i="10"/>
  <c r="I449" i="10"/>
  <c r="I433" i="10"/>
  <c r="I417" i="10"/>
  <c r="I401" i="10"/>
  <c r="I611" i="10"/>
  <c r="I595" i="10"/>
  <c r="I579" i="10"/>
  <c r="I563" i="10"/>
  <c r="I547" i="10"/>
  <c r="I531" i="10"/>
  <c r="I515" i="10"/>
  <c r="I499" i="10"/>
  <c r="I483" i="10"/>
  <c r="I467" i="10"/>
  <c r="I451" i="10"/>
  <c r="I435" i="10"/>
  <c r="I419" i="10"/>
  <c r="I403" i="10"/>
  <c r="H315" i="10"/>
  <c r="I315" i="10"/>
  <c r="H299" i="10"/>
  <c r="I299" i="10"/>
  <c r="H283" i="10"/>
  <c r="I283" i="10"/>
  <c r="H267" i="10"/>
  <c r="I267" i="10"/>
  <c r="H251" i="10"/>
  <c r="I251" i="10"/>
  <c r="H235" i="10"/>
  <c r="I235" i="10"/>
  <c r="H219" i="10"/>
  <c r="I219" i="10"/>
  <c r="H203" i="10"/>
  <c r="I203" i="10"/>
  <c r="H187" i="10"/>
  <c r="I187" i="10"/>
  <c r="H159" i="10"/>
  <c r="I159" i="10"/>
  <c r="H143" i="10"/>
  <c r="I143" i="10"/>
  <c r="H127" i="10"/>
  <c r="I127" i="10"/>
  <c r="H111" i="10"/>
  <c r="I111" i="10"/>
  <c r="I314" i="10"/>
  <c r="I306" i="10"/>
  <c r="I298" i="10"/>
  <c r="I290" i="10"/>
  <c r="I282" i="10"/>
  <c r="I274" i="10"/>
  <c r="I266" i="10"/>
  <c r="I258" i="10"/>
  <c r="I250" i="10"/>
  <c r="I242" i="10"/>
  <c r="I234" i="10"/>
  <c r="I226" i="10"/>
  <c r="I218" i="10"/>
  <c r="I210" i="10"/>
  <c r="I202" i="10"/>
  <c r="I194" i="10"/>
  <c r="I186" i="10"/>
  <c r="I178" i="10"/>
  <c r="H165" i="10"/>
  <c r="I165" i="10"/>
  <c r="H149" i="10"/>
  <c r="I149" i="10"/>
  <c r="I319" i="10"/>
  <c r="I311" i="10"/>
  <c r="I303" i="10"/>
  <c r="I295" i="10"/>
  <c r="I287" i="10"/>
  <c r="I279" i="10"/>
  <c r="I271" i="10"/>
  <c r="I263" i="10"/>
  <c r="I255" i="10"/>
  <c r="I247" i="10"/>
  <c r="I239" i="10"/>
  <c r="I231" i="10"/>
  <c r="I223" i="10"/>
  <c r="I215" i="10"/>
  <c r="I207" i="10"/>
  <c r="I199" i="10"/>
  <c r="I191" i="10"/>
  <c r="I183" i="10"/>
  <c r="I175" i="10"/>
  <c r="H155" i="10"/>
  <c r="I155" i="10"/>
  <c r="I313" i="10"/>
  <c r="I305" i="10"/>
  <c r="I297" i="10"/>
  <c r="I289" i="10"/>
  <c r="I281" i="10"/>
  <c r="I273" i="10"/>
  <c r="I265" i="10"/>
  <c r="I257" i="10"/>
  <c r="I249" i="10"/>
  <c r="I241" i="10"/>
  <c r="I233" i="10"/>
  <c r="I225" i="10"/>
  <c r="I217" i="10"/>
  <c r="I209" i="10"/>
  <c r="I201" i="10"/>
  <c r="I193" i="10"/>
  <c r="I185" i="10"/>
  <c r="I177" i="10"/>
  <c r="H151" i="10"/>
  <c r="I151" i="10"/>
  <c r="H135" i="10"/>
  <c r="I135" i="10"/>
  <c r="H119" i="10"/>
  <c r="I119" i="10"/>
  <c r="H157" i="10"/>
  <c r="I157" i="10"/>
  <c r="H163" i="10"/>
  <c r="I163" i="10"/>
  <c r="I161" i="10"/>
  <c r="I153" i="10"/>
  <c r="I145" i="10"/>
  <c r="I137" i="10"/>
  <c r="I129" i="10"/>
  <c r="I121" i="10"/>
  <c r="I113" i="10"/>
  <c r="H95" i="10"/>
  <c r="I95" i="10"/>
  <c r="H79" i="10"/>
  <c r="I79" i="10"/>
  <c r="H63" i="10"/>
  <c r="I63" i="10"/>
  <c r="H47" i="10"/>
  <c r="I47" i="10"/>
  <c r="H31" i="10"/>
  <c r="I31" i="10"/>
  <c r="H15" i="10"/>
  <c r="I15" i="10"/>
  <c r="H101" i="10"/>
  <c r="I101" i="10"/>
  <c r="H85" i="10"/>
  <c r="I85" i="10"/>
  <c r="H69" i="10"/>
  <c r="I69" i="10"/>
  <c r="H53" i="10"/>
  <c r="I53" i="10"/>
  <c r="H37" i="10"/>
  <c r="I37" i="10"/>
  <c r="H21" i="10"/>
  <c r="I21" i="10"/>
  <c r="H5" i="10"/>
  <c r="I5" i="10"/>
  <c r="I147" i="10"/>
  <c r="I139" i="10"/>
  <c r="I131" i="10"/>
  <c r="I123" i="10"/>
  <c r="I115" i="10"/>
  <c r="H107" i="10"/>
  <c r="I107" i="10"/>
  <c r="H91" i="10"/>
  <c r="I91" i="10"/>
  <c r="H75" i="10"/>
  <c r="I75" i="10"/>
  <c r="H59" i="10"/>
  <c r="I59" i="10"/>
  <c r="H43" i="10"/>
  <c r="I43" i="10"/>
  <c r="H27" i="10"/>
  <c r="I27" i="10"/>
  <c r="H11" i="10"/>
  <c r="I11" i="10"/>
  <c r="H97" i="10"/>
  <c r="I97" i="10"/>
  <c r="H81" i="10"/>
  <c r="I81" i="10"/>
  <c r="H65" i="10"/>
  <c r="I65" i="10"/>
  <c r="H49" i="10"/>
  <c r="I49" i="10"/>
  <c r="H33" i="10"/>
  <c r="I33" i="10"/>
  <c r="H17" i="10"/>
  <c r="I17" i="10"/>
  <c r="I141" i="10"/>
  <c r="I133" i="10"/>
  <c r="I125" i="10"/>
  <c r="I117" i="10"/>
  <c r="I109" i="10"/>
  <c r="H103" i="10"/>
  <c r="I103" i="10"/>
  <c r="H87" i="10"/>
  <c r="I87" i="10"/>
  <c r="H71" i="10"/>
  <c r="I71" i="10"/>
  <c r="H55" i="10"/>
  <c r="I55" i="10"/>
  <c r="H39" i="10"/>
  <c r="I39" i="10"/>
  <c r="H23" i="10"/>
  <c r="I23" i="10"/>
  <c r="H7" i="10"/>
  <c r="I7" i="10"/>
  <c r="H93" i="10"/>
  <c r="I93" i="10"/>
  <c r="H77" i="10"/>
  <c r="I77" i="10"/>
  <c r="H61" i="10"/>
  <c r="I61" i="10"/>
  <c r="H45" i="10"/>
  <c r="I45" i="10"/>
  <c r="H29" i="10"/>
  <c r="I29" i="10"/>
  <c r="H13" i="10"/>
  <c r="I13" i="10"/>
  <c r="H99" i="10"/>
  <c r="I99" i="10"/>
  <c r="H83" i="10"/>
  <c r="I83" i="10"/>
  <c r="H67" i="10"/>
  <c r="I67" i="10"/>
  <c r="H51" i="10"/>
  <c r="I51" i="10"/>
  <c r="H35" i="10"/>
  <c r="I35" i="10"/>
  <c r="H19" i="10"/>
  <c r="I19" i="10"/>
  <c r="I3" i="10"/>
  <c r="AB17" i="4" l="1"/>
  <c r="W33" i="4"/>
  <c r="W32" i="4"/>
  <c r="AB30" i="4"/>
  <c r="AB29" i="4"/>
  <c r="W26" i="4"/>
  <c r="W25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W18" i="4"/>
  <c r="W17" i="4"/>
  <c r="W12" i="4"/>
  <c r="W11" i="4"/>
  <c r="W5" i="4"/>
  <c r="R15" i="4"/>
  <c r="R16" i="4"/>
  <c r="R10" i="4"/>
  <c r="R6" i="4"/>
  <c r="R5" i="4"/>
  <c r="R19" i="4"/>
  <c r="R18" i="4"/>
  <c r="R17" i="4"/>
  <c r="R14" i="4"/>
  <c r="R13" i="4"/>
  <c r="R12" i="4"/>
  <c r="R11" i="4"/>
  <c r="R9" i="4"/>
  <c r="R8" i="4"/>
  <c r="R7" i="4"/>
</calcChain>
</file>

<file path=xl/comments1.xml><?xml version="1.0" encoding="utf-8"?>
<comments xmlns="http://schemas.openxmlformats.org/spreadsheetml/2006/main">
  <authors>
    <author>Billy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Billy:</t>
        </r>
        <r>
          <rPr>
            <sz val="9"/>
            <color indexed="81"/>
            <rFont val="Tahoma"/>
            <family val="2"/>
          </rPr>
          <t xml:space="preserve">
8 hours is 1/3 of a day so 1/3 * 30 = 10</t>
        </r>
      </text>
    </comment>
  </commentList>
</comments>
</file>

<file path=xl/sharedStrings.xml><?xml version="1.0" encoding="utf-8"?>
<sst xmlns="http://schemas.openxmlformats.org/spreadsheetml/2006/main" count="35674" uniqueCount="1686">
  <si>
    <t>1,048,576 rows by 16,384 columns</t>
  </si>
  <si>
    <t>Column width</t>
  </si>
  <si>
    <t>255 characters</t>
  </si>
  <si>
    <t>32,767 characters</t>
  </si>
  <si>
    <t>4K &gt; BLOB</t>
  </si>
  <si>
    <t>Size</t>
  </si>
  <si>
    <t>Spreadsheet</t>
  </si>
  <si>
    <t>Database</t>
  </si>
  <si>
    <t>Limited by cores and memory</t>
  </si>
  <si>
    <t>Copy sheet to sheet</t>
  </si>
  <si>
    <t>one place</t>
  </si>
  <si>
    <t>In memory</t>
  </si>
  <si>
    <t>On disk</t>
  </si>
  <si>
    <t>Hard to find errors</t>
  </si>
  <si>
    <t xml:space="preserve">Data integrity </t>
  </si>
  <si>
    <t>Type</t>
  </si>
  <si>
    <t>Rules (constraints)</t>
  </si>
  <si>
    <t>Hard to share</t>
  </si>
  <si>
    <t>Hundred of people &amp; apps</t>
  </si>
  <si>
    <t>Skills</t>
  </si>
  <si>
    <t>Many people</t>
  </si>
  <si>
    <t>Specialized / training</t>
  </si>
  <si>
    <t>Questions</t>
  </si>
  <si>
    <t>Complex</t>
  </si>
  <si>
    <t>Simple</t>
  </si>
  <si>
    <t>Many Add-Ins</t>
  </si>
  <si>
    <t>SQL Programming</t>
  </si>
  <si>
    <t>Reporting</t>
  </si>
  <si>
    <t>Characters in cell</t>
  </si>
  <si>
    <t>Working Data</t>
  </si>
  <si>
    <t>Data Analysis</t>
  </si>
  <si>
    <t>Charts</t>
  </si>
  <si>
    <t>Queries related to one list</t>
  </si>
  <si>
    <t xml:space="preserve">Sorting </t>
  </si>
  <si>
    <t>Printing</t>
  </si>
  <si>
    <t>Complex queries</t>
  </si>
  <si>
    <t>Visualization tools color</t>
  </si>
  <si>
    <t>Many tables in one report</t>
  </si>
  <si>
    <t>Change calculations</t>
  </si>
  <si>
    <t>MAD Data</t>
  </si>
  <si>
    <t>MAD does not impact</t>
  </si>
  <si>
    <t>Calculations are separate</t>
  </si>
  <si>
    <t>Embedded Calculations</t>
  </si>
  <si>
    <t>Many numerical functions</t>
  </si>
  <si>
    <t>CUSTOMERS</t>
  </si>
  <si>
    <t>ORDERS</t>
  </si>
  <si>
    <t>CUSTOMER#</t>
  </si>
  <si>
    <t>LASTNAME</t>
  </si>
  <si>
    <t>FIRSTNAME</t>
  </si>
  <si>
    <t>ADDRESS</t>
  </si>
  <si>
    <t>CITY</t>
  </si>
  <si>
    <t>STATE</t>
  </si>
  <si>
    <t>ZIP</t>
  </si>
  <si>
    <t>REFERRED</t>
  </si>
  <si>
    <t>ORDER#</t>
  </si>
  <si>
    <t>ORDERDATE</t>
  </si>
  <si>
    <t>SHIPDATE</t>
  </si>
  <si>
    <t>SHIPSTREET</t>
  </si>
  <si>
    <t>SHIPCITY</t>
  </si>
  <si>
    <t>SHIPSTATE</t>
  </si>
  <si>
    <t>SHIPZIP</t>
  </si>
  <si>
    <t>MORALES</t>
  </si>
  <si>
    <t>BONITA</t>
  </si>
  <si>
    <t>P.O. BOX 651</t>
  </si>
  <si>
    <t>EASTPOINT</t>
  </si>
  <si>
    <t>FL</t>
  </si>
  <si>
    <t>1201 ORANGE AVE</t>
  </si>
  <si>
    <t>SEATTLE</t>
  </si>
  <si>
    <t>WA</t>
  </si>
  <si>
    <t>THOMPSON</t>
  </si>
  <si>
    <t>RYAN</t>
  </si>
  <si>
    <t>P.O. BOX 9835</t>
  </si>
  <si>
    <t>SANTA MONICA</t>
  </si>
  <si>
    <t>CA</t>
  </si>
  <si>
    <t>114 EAST SAVANNAH</t>
  </si>
  <si>
    <t>ATLANTA</t>
  </si>
  <si>
    <t>GA</t>
  </si>
  <si>
    <t>SMITH</t>
  </si>
  <si>
    <t>LEILA</t>
  </si>
  <si>
    <t>P.O. BOX 66</t>
  </si>
  <si>
    <t>TALLAHASSEE</t>
  </si>
  <si>
    <t>58 TILA CIRCLE</t>
  </si>
  <si>
    <t>CHICAGO</t>
  </si>
  <si>
    <t>IL</t>
  </si>
  <si>
    <t>PIERSON</t>
  </si>
  <si>
    <t>THOMAS</t>
  </si>
  <si>
    <t>69821 SOUTH AVENUE</t>
  </si>
  <si>
    <t>BOISE</t>
  </si>
  <si>
    <t>ID</t>
  </si>
  <si>
    <t>958 MAGNOLIA LANE</t>
  </si>
  <si>
    <t>GIRARD</t>
  </si>
  <si>
    <t>CINDY</t>
  </si>
  <si>
    <t>P.O. BOX 851</t>
  </si>
  <si>
    <t>561 ROUNDABOUT WAY</t>
  </si>
  <si>
    <t>TRENTON</t>
  </si>
  <si>
    <t>NJ</t>
  </si>
  <si>
    <t>CRUZ</t>
  </si>
  <si>
    <t>MESHIA</t>
  </si>
  <si>
    <t>82 DIRT ROAD</t>
  </si>
  <si>
    <t>ALBANY</t>
  </si>
  <si>
    <t>NY</t>
  </si>
  <si>
    <t>1008 GRAND AVENUE</t>
  </si>
  <si>
    <t>MACON</t>
  </si>
  <si>
    <t>GIANA</t>
  </si>
  <si>
    <t>TAMMY</t>
  </si>
  <si>
    <t>9153 MAIN STREET</t>
  </si>
  <si>
    <t>AUSTIN</t>
  </si>
  <si>
    <t>TX</t>
  </si>
  <si>
    <t>558A CAPITOL HWY.</t>
  </si>
  <si>
    <t>JONES</t>
  </si>
  <si>
    <t>KENNETH</t>
  </si>
  <si>
    <t>P.O. BOX 137</t>
  </si>
  <si>
    <t>CHEYENNE</t>
  </si>
  <si>
    <t>WY</t>
  </si>
  <si>
    <t>PEREZ</t>
  </si>
  <si>
    <t>JORGE</t>
  </si>
  <si>
    <t>P.O. BOX 8564</t>
  </si>
  <si>
    <t>BURBANK</t>
  </si>
  <si>
    <t>LUCAS</t>
  </si>
  <si>
    <t>JAKE</t>
  </si>
  <si>
    <t>9 LIGHTENING RD.</t>
  </si>
  <si>
    <t>MCGOVERN</t>
  </si>
  <si>
    <t>REESE</t>
  </si>
  <si>
    <t>P.O. BOX 18</t>
  </si>
  <si>
    <t>384 WRONG WAY HOME</t>
  </si>
  <si>
    <t>MORRISTOWN</t>
  </si>
  <si>
    <t>MCKENZIE</t>
  </si>
  <si>
    <t>WILLIAM</t>
  </si>
  <si>
    <t>P.O. BOX 971</t>
  </si>
  <si>
    <t>BOSTON</t>
  </si>
  <si>
    <t>MA</t>
  </si>
  <si>
    <t>102 WEST LAFAYETTE</t>
  </si>
  <si>
    <t>NGUYEN</t>
  </si>
  <si>
    <t>NICHOLAS</t>
  </si>
  <si>
    <t>357 WHITE EAGLE AVE.</t>
  </si>
  <si>
    <t>CLERMONT</t>
  </si>
  <si>
    <t>1295 WINDY AVENUE</t>
  </si>
  <si>
    <t>KALMAZOO</t>
  </si>
  <si>
    <t>MI</t>
  </si>
  <si>
    <t>LEE</t>
  </si>
  <si>
    <t>JASMINE</t>
  </si>
  <si>
    <t>P.O. BOX 2947</t>
  </si>
  <si>
    <t>CODY</t>
  </si>
  <si>
    <t>7618 MOUNTAIN RD.</t>
  </si>
  <si>
    <t>SCHELL</t>
  </si>
  <si>
    <t>STEVE</t>
  </si>
  <si>
    <t>P.O. BOX 677</t>
  </si>
  <si>
    <t>MIAMI</t>
  </si>
  <si>
    <t>DAUM</t>
  </si>
  <si>
    <t>MICHELL</t>
  </si>
  <si>
    <t>9851231 LONG ROAD</t>
  </si>
  <si>
    <t>557 GLITTER ST.</t>
  </si>
  <si>
    <t>NELSON</t>
  </si>
  <si>
    <t>BECCA</t>
  </si>
  <si>
    <t>P.O. BOX 563</t>
  </si>
  <si>
    <t>9901 SEMINOLE WAY</t>
  </si>
  <si>
    <t>MONTIASA</t>
  </si>
  <si>
    <t>GREG</t>
  </si>
  <si>
    <t>887 HOT ASPHALT ST</t>
  </si>
  <si>
    <t>JENNIFER</t>
  </si>
  <si>
    <t>P.O. BOX 1151</t>
  </si>
  <si>
    <t>95812 HIGHWAY 98</t>
  </si>
  <si>
    <t>FALAH</t>
  </si>
  <si>
    <t>P.O. BOX 335</t>
  </si>
  <si>
    <t>UNDERWOOD</t>
  </si>
  <si>
    <t>CAREY</t>
  </si>
  <si>
    <t>1010 Brussel Rd</t>
  </si>
  <si>
    <t>NASHVILE</t>
  </si>
  <si>
    <t>TN</t>
  </si>
  <si>
    <t>195 JAMISON LANE</t>
  </si>
  <si>
    <t>SEACREST</t>
  </si>
  <si>
    <t>2134 Holly Blvd</t>
  </si>
  <si>
    <t>1201 APPLE AVE</t>
  </si>
  <si>
    <t>BELLEVUE</t>
  </si>
  <si>
    <t>THUMB</t>
  </si>
  <si>
    <t>TOM</t>
  </si>
  <si>
    <t xml:space="preserve">BOX 22 100 Main St </t>
  </si>
  <si>
    <t>Boden</t>
  </si>
  <si>
    <t>114 STONE BLVD</t>
  </si>
  <si>
    <t>DECATUR</t>
  </si>
  <si>
    <t>ORDERITEMS</t>
  </si>
  <si>
    <t>BOOKS</t>
  </si>
  <si>
    <t>ITEM#</t>
  </si>
  <si>
    <t>ISBN</t>
  </si>
  <si>
    <t>QUANTITY</t>
  </si>
  <si>
    <t>TITLE</t>
  </si>
  <si>
    <t>PUBDATE</t>
  </si>
  <si>
    <t>PUBID</t>
  </si>
  <si>
    <t>COST</t>
  </si>
  <si>
    <t>RETAIL</t>
  </si>
  <si>
    <t>CATEGORY</t>
  </si>
  <si>
    <t>BODYBUILD IN 10 MINUTES A DAY</t>
  </si>
  <si>
    <t>FITNESS</t>
  </si>
  <si>
    <t>REVENGE OF MICKEY</t>
  </si>
  <si>
    <t>FAMILY LIFE</t>
  </si>
  <si>
    <t>BUILDING A CAR WITH TOOTHPICKS</t>
  </si>
  <si>
    <t>CHILDREN</t>
  </si>
  <si>
    <t>DATABASE IMPLEMENTATION</t>
  </si>
  <si>
    <t>COMPUTER</t>
  </si>
  <si>
    <t>COOKING WITH MUSHROOMS</t>
  </si>
  <si>
    <t>COOKING</t>
  </si>
  <si>
    <t>HOLY GRAIL OF ORACLE</t>
  </si>
  <si>
    <t>HANDCRANKED COMPUTERS</t>
  </si>
  <si>
    <t>E-BUSINESS THE EASY WAY</t>
  </si>
  <si>
    <t>PAINLESS CHILD-REARING</t>
  </si>
  <si>
    <t>THE WOK WAY TO COOK</t>
  </si>
  <si>
    <t>BIG BEAR AND LITTLE DOVE</t>
  </si>
  <si>
    <t>HOW TO GET FASTER PIZZA</t>
  </si>
  <si>
    <t>SELF HELP</t>
  </si>
  <si>
    <t>HOW TO MANAGE THE MANAGER</t>
  </si>
  <si>
    <t>BUSINESS</t>
  </si>
  <si>
    <t>SHORTEST POEMS</t>
  </si>
  <si>
    <t>LITERATURE</t>
  </si>
  <si>
    <t>TEST RECORD</t>
  </si>
  <si>
    <t>TEST</t>
  </si>
  <si>
    <t>QTY</t>
  </si>
  <si>
    <t>TOTAL</t>
  </si>
  <si>
    <t>ODATE</t>
  </si>
  <si>
    <t>SDATE</t>
  </si>
  <si>
    <t>SSTREET</t>
  </si>
  <si>
    <t>SCITY</t>
  </si>
  <si>
    <t>SST</t>
  </si>
  <si>
    <t>Bookstore orders in a List</t>
  </si>
  <si>
    <t>Bookstore orders in database tables</t>
  </si>
  <si>
    <t>Table of Contents</t>
  </si>
  <si>
    <t>Spreadsheets vs. Databases</t>
  </si>
  <si>
    <t>An Invoice</t>
  </si>
  <si>
    <t>All the Invoices in Excel List</t>
  </si>
  <si>
    <t>All the Invoices in database tables</t>
  </si>
  <si>
    <t>Employee Name</t>
  </si>
  <si>
    <t>Building</t>
  </si>
  <si>
    <t>Department</t>
  </si>
  <si>
    <t>SS#</t>
  </si>
  <si>
    <t>Phone</t>
  </si>
  <si>
    <t>Status</t>
  </si>
  <si>
    <t>Hire Date</t>
  </si>
  <si>
    <t>Month</t>
  </si>
  <si>
    <t>Years</t>
  </si>
  <si>
    <t>Benefits</t>
  </si>
  <si>
    <t>Salary</t>
  </si>
  <si>
    <t>Job Rating</t>
  </si>
  <si>
    <t>New Salary</t>
  </si>
  <si>
    <t>Tax Rate</t>
  </si>
  <si>
    <t>TaxTable</t>
  </si>
  <si>
    <t>Dawson, Jonathan</t>
  </si>
  <si>
    <t>West</t>
  </si>
  <si>
    <t>ADC</t>
  </si>
  <si>
    <t>Contract</t>
  </si>
  <si>
    <t>Jan</t>
  </si>
  <si>
    <t>Jul</t>
  </si>
  <si>
    <t>Duran, Brian</t>
  </si>
  <si>
    <t>Taft</t>
  </si>
  <si>
    <t>Hourly</t>
  </si>
  <si>
    <t>Feb</t>
  </si>
  <si>
    <t>Aug</t>
  </si>
  <si>
    <t>Page, Lisa</t>
  </si>
  <si>
    <t>Full Time</t>
  </si>
  <si>
    <t>DMR</t>
  </si>
  <si>
    <t>Mar</t>
  </si>
  <si>
    <t>Sep</t>
  </si>
  <si>
    <t>Taylor, Hector</t>
  </si>
  <si>
    <t>Half-Time</t>
  </si>
  <si>
    <t>DM</t>
  </si>
  <si>
    <t>Apr</t>
  </si>
  <si>
    <t>Oct</t>
  </si>
  <si>
    <t>Weber, Larry</t>
  </si>
  <si>
    <t>Watson</t>
  </si>
  <si>
    <t>M</t>
  </si>
  <si>
    <t>May</t>
  </si>
  <si>
    <t>Nov</t>
  </si>
  <si>
    <t>Brewer, Kent</t>
  </si>
  <si>
    <t>Main</t>
  </si>
  <si>
    <t>Admin Training</t>
  </si>
  <si>
    <t>Jun</t>
  </si>
  <si>
    <t>Dec</t>
  </si>
  <si>
    <t>Burton, Cam</t>
  </si>
  <si>
    <t>D</t>
  </si>
  <si>
    <t>Chase, Troy</t>
  </si>
  <si>
    <t>Gallagher, Johnson</t>
  </si>
  <si>
    <t>Holland, Donald</t>
  </si>
  <si>
    <t>South</t>
  </si>
  <si>
    <t>Oconnor, Kent</t>
  </si>
  <si>
    <t>Phillips, Liesl</t>
  </si>
  <si>
    <t>R</t>
  </si>
  <si>
    <t>Pratt, Erik</t>
  </si>
  <si>
    <t>North</t>
  </si>
  <si>
    <t>Rowe, Ken</t>
  </si>
  <si>
    <t>Spencer, Boyd</t>
  </si>
  <si>
    <t>Strickland, Rajean</t>
  </si>
  <si>
    <t>Tanner, Timothy</t>
  </si>
  <si>
    <t>Todd, Steven</t>
  </si>
  <si>
    <t>White, Daniel</t>
  </si>
  <si>
    <t>Wiggins, Frank</t>
  </si>
  <si>
    <t>Wilkins, Jesse</t>
  </si>
  <si>
    <t>Wolf, Debbie</t>
  </si>
  <si>
    <t>Blair, Sperry</t>
  </si>
  <si>
    <t>Audit Services</t>
  </si>
  <si>
    <t>Carroll, Lesa</t>
  </si>
  <si>
    <t>Dunn, Matthew</t>
  </si>
  <si>
    <t>Fleming, Irv</t>
  </si>
  <si>
    <t>McKenzie, Michelle</t>
  </si>
  <si>
    <t>Nguyen, Dennis</t>
  </si>
  <si>
    <t>Potter, Dawn</t>
  </si>
  <si>
    <t>Thornton, Charles</t>
  </si>
  <si>
    <t>Walton, Benjamin</t>
  </si>
  <si>
    <t>Wyatt, Kelly</t>
  </si>
  <si>
    <t>Beck, Craig</t>
  </si>
  <si>
    <t>Compliance</t>
  </si>
  <si>
    <t>Bond, John</t>
  </si>
  <si>
    <t>Chang, Gabriel</t>
  </si>
  <si>
    <t>Phelps, Gretchen</t>
  </si>
  <si>
    <t>Becker, Gretchen</t>
  </si>
  <si>
    <t>Engineering/Maintenance</t>
  </si>
  <si>
    <t>Booker, Judith</t>
  </si>
  <si>
    <t>Briggs, Bryan</t>
  </si>
  <si>
    <t>Bullock, Greg</t>
  </si>
  <si>
    <t>Clayton, Gregory</t>
  </si>
  <si>
    <t>Conway, Brett</t>
  </si>
  <si>
    <t>Cunningham, Denise</t>
  </si>
  <si>
    <t>Deleon, Jaquelyn</t>
  </si>
  <si>
    <t>Dorsey, Matthew</t>
  </si>
  <si>
    <t>Farrell, Laura</t>
  </si>
  <si>
    <t>Fletcher, Brian</t>
  </si>
  <si>
    <t>Flowers, Kathleen</t>
  </si>
  <si>
    <t>Gardner, Anthony</t>
  </si>
  <si>
    <t>Goodman, Kuyler</t>
  </si>
  <si>
    <t>Griffith, Michelle</t>
  </si>
  <si>
    <t>Hammond, Robert</t>
  </si>
  <si>
    <t>Harding, Erin</t>
  </si>
  <si>
    <t>Harmon, Paul</t>
  </si>
  <si>
    <t>Hickman, John</t>
  </si>
  <si>
    <t>Hood, Renee</t>
  </si>
  <si>
    <t>Hudson, Lorna</t>
  </si>
  <si>
    <t>Huff, Erik</t>
  </si>
  <si>
    <t>James, Lynn</t>
  </si>
  <si>
    <t>Kent, Angus</t>
  </si>
  <si>
    <t>Lawrence, Ronald</t>
  </si>
  <si>
    <t>Martinez, Kathleen</t>
  </si>
  <si>
    <t>Matthews, Diane</t>
  </si>
  <si>
    <t>May, Steve</t>
  </si>
  <si>
    <t>McDonald, Debra</t>
  </si>
  <si>
    <t>Mendoza, Bobby</t>
  </si>
  <si>
    <t>Morgan, Patricia</t>
  </si>
  <si>
    <t>Mullins, Angela</t>
  </si>
  <si>
    <t>Navarro, Marc</t>
  </si>
  <si>
    <t>Nichols, Nathaniel</t>
  </si>
  <si>
    <t>Nicholson, Lee</t>
  </si>
  <si>
    <t>Norris, Tamara</t>
  </si>
  <si>
    <t>Perry, Christopher</t>
  </si>
  <si>
    <t>Pitts, Dana</t>
  </si>
  <si>
    <t>Poole, Tracy</t>
  </si>
  <si>
    <t>Porter, Rachel</t>
  </si>
  <si>
    <t>Powers, Tia</t>
  </si>
  <si>
    <t>Pruitt, Randy</t>
  </si>
  <si>
    <t>Richardson, Debbie</t>
  </si>
  <si>
    <t>Schneider, Gay</t>
  </si>
  <si>
    <t>Sherman, Karin</t>
  </si>
  <si>
    <t>Simmons, Robert</t>
  </si>
  <si>
    <t>Simpson, Jimmy</t>
  </si>
  <si>
    <t>Steele, Gerald</t>
  </si>
  <si>
    <t>Stone, Brian</t>
  </si>
  <si>
    <t>Swanson, Vicki</t>
  </si>
  <si>
    <t>Thompson, John</t>
  </si>
  <si>
    <t>Vance, Cheryl</t>
  </si>
  <si>
    <t>Wallace, Timothy</t>
  </si>
  <si>
    <t>Warren, Jean</t>
  </si>
  <si>
    <t>Weiss, Marisa</t>
  </si>
  <si>
    <t>Wheeler, Meegan</t>
  </si>
  <si>
    <t>Whitehead, Carolyn</t>
  </si>
  <si>
    <t>Wolfe, Keith</t>
  </si>
  <si>
    <t>York, Steven</t>
  </si>
  <si>
    <t>Cohen, Bruce</t>
  </si>
  <si>
    <t>Engineering/Operations</t>
  </si>
  <si>
    <t>Cortez, Jack</t>
  </si>
  <si>
    <t>Hardin, Gregory</t>
  </si>
  <si>
    <t>Juarez, Neill</t>
  </si>
  <si>
    <t>Kerr, Mihaela</t>
  </si>
  <si>
    <t>Pacheco, Therese</t>
  </si>
  <si>
    <t>Stokes, Jonathan</t>
  </si>
  <si>
    <t>Wade, Kevin</t>
  </si>
  <si>
    <t>Carey, Andrea</t>
  </si>
  <si>
    <t>Environmental Health/Safety</t>
  </si>
  <si>
    <t>Foley, Peter</t>
  </si>
  <si>
    <t>Gomez, Ed</t>
  </si>
  <si>
    <t>Hawkins, Douglas</t>
  </si>
  <si>
    <t>Hill, Robin</t>
  </si>
  <si>
    <t>Kim, Deborah</t>
  </si>
  <si>
    <t>Landry, Linda</t>
  </si>
  <si>
    <t>Malone, Daniel</t>
  </si>
  <si>
    <t>Norton, Bruce</t>
  </si>
  <si>
    <t>Allison, Timothy</t>
  </si>
  <si>
    <t>Executive Education</t>
  </si>
  <si>
    <t>Baker, Barney</t>
  </si>
  <si>
    <t>Copeland, Roger</t>
  </si>
  <si>
    <t>Durham, Troy</t>
  </si>
  <si>
    <t>Figueroa, Leonard</t>
  </si>
  <si>
    <t>Garner, Terry</t>
  </si>
  <si>
    <t>Hutchinson, Robin</t>
  </si>
  <si>
    <t>Lloyd, John</t>
  </si>
  <si>
    <t>Maxwell, Jill</t>
  </si>
  <si>
    <t>McCoy, Preston</t>
  </si>
  <si>
    <t>McDowell, Scott</t>
  </si>
  <si>
    <t>Molina, Michael</t>
  </si>
  <si>
    <t>Nixon, Randy</t>
  </si>
  <si>
    <t>Park, Timothy</t>
  </si>
  <si>
    <t>Perkins, Donald</t>
  </si>
  <si>
    <t>Ray, ReAnnon</t>
  </si>
  <si>
    <t>Roberson, Eileen</t>
  </si>
  <si>
    <t>Silva, Stephen</t>
  </si>
  <si>
    <t>Winters, Shaun</t>
  </si>
  <si>
    <t>Barnett, Brenda</t>
  </si>
  <si>
    <t>International Clinical Safety</t>
  </si>
  <si>
    <t>Daniel, Robert</t>
  </si>
  <si>
    <t>Gregory, Jon</t>
  </si>
  <si>
    <t>Nelson, Shira</t>
  </si>
  <si>
    <t>Ramos, Jan</t>
  </si>
  <si>
    <t>Adams, David</t>
  </si>
  <si>
    <t>Logistics</t>
  </si>
  <si>
    <t>Bass, Justin</t>
  </si>
  <si>
    <t>Calhoun, Dac Vinh</t>
  </si>
  <si>
    <t>Chen, Jaime</t>
  </si>
  <si>
    <t>Clarke, Dennis</t>
  </si>
  <si>
    <t>Cummings, Jose</t>
  </si>
  <si>
    <t>Curtis, Patrick</t>
  </si>
  <si>
    <t>Estrada, Joan</t>
  </si>
  <si>
    <t>Evans, Rolin</t>
  </si>
  <si>
    <t>Gallegos, Rick</t>
  </si>
  <si>
    <t>Gates, Anne</t>
  </si>
  <si>
    <t>Gross, Davin</t>
  </si>
  <si>
    <t>Hale, Deon</t>
  </si>
  <si>
    <t>Hardy, Svetlana</t>
  </si>
  <si>
    <t>Jordan, Mark</t>
  </si>
  <si>
    <t>Lara, Mark</t>
  </si>
  <si>
    <t>Lee, Charles</t>
  </si>
  <si>
    <t>Lowe, Michelle</t>
  </si>
  <si>
    <t>Mathis, Shari</t>
  </si>
  <si>
    <t>Montgomery, Chris</t>
  </si>
  <si>
    <t>Morse, Michael</t>
  </si>
  <si>
    <t>Newton, Leigh</t>
  </si>
  <si>
    <t>Noble, Michael</t>
  </si>
  <si>
    <t>Nunez, Benning</t>
  </si>
  <si>
    <t>Oliver, Francisco</t>
  </si>
  <si>
    <t>Padilla, Christopher</t>
  </si>
  <si>
    <t>Reese, Marc</t>
  </si>
  <si>
    <t>Rich, Brent</t>
  </si>
  <si>
    <t>Robertson, Nathan</t>
  </si>
  <si>
    <t>Santos, Garret</t>
  </si>
  <si>
    <t>Shaffer, Nobuko</t>
  </si>
  <si>
    <t>Shields, Robert</t>
  </si>
  <si>
    <t>Townsend, Jerry</t>
  </si>
  <si>
    <t>Vazquez, Kenneth</t>
  </si>
  <si>
    <t>Wagner, Lynne</t>
  </si>
  <si>
    <t>Wise, Ted</t>
  </si>
  <si>
    <t>Woodward, Tim</t>
  </si>
  <si>
    <t>Young, Benjamin</t>
  </si>
  <si>
    <t>Boone, Eric</t>
  </si>
  <si>
    <t>Major Mfg Projects</t>
  </si>
  <si>
    <t>Campos, Richard</t>
  </si>
  <si>
    <t>Douglas, Kenneth</t>
  </si>
  <si>
    <t>Gilmore, Terry</t>
  </si>
  <si>
    <t>Miranda, Elena</t>
  </si>
  <si>
    <t>Randolph, Kristin</t>
  </si>
  <si>
    <t>Romero, Randy</t>
  </si>
  <si>
    <t>Tran, Chad</t>
  </si>
  <si>
    <t>Allen, Thomas</t>
  </si>
  <si>
    <t>Manufacturing</t>
  </si>
  <si>
    <t>Atkins, Kevin</t>
  </si>
  <si>
    <t>Ayers, Douglas</t>
  </si>
  <si>
    <t>Barber, Robbie</t>
  </si>
  <si>
    <t>Barron, Michael</t>
  </si>
  <si>
    <t>Bates, Verna</t>
  </si>
  <si>
    <t>Baxter, Teresa</t>
  </si>
  <si>
    <t>Bell, David</t>
  </si>
  <si>
    <t>Benson, Troy</t>
  </si>
  <si>
    <t>Berry, Jacklyn</t>
  </si>
  <si>
    <t>Blackburn, Kathryn</t>
  </si>
  <si>
    <t>Boyd, Debra</t>
  </si>
  <si>
    <t>Boyer, John</t>
  </si>
  <si>
    <t>Bradford, Raymond</t>
  </si>
  <si>
    <t>Bradley, David</t>
  </si>
  <si>
    <t>Brady, Traci</t>
  </si>
  <si>
    <t>Bridges, Jeff</t>
  </si>
  <si>
    <t>Brock, Ensley</t>
  </si>
  <si>
    <t>Browning, Kathleen</t>
  </si>
  <si>
    <t>Burgess, Cherie</t>
  </si>
  <si>
    <t>Burns, Fiona</t>
  </si>
  <si>
    <t>Butler, Roy</t>
  </si>
  <si>
    <t>Callahan, Marilyn</t>
  </si>
  <si>
    <t>Camacho, Stephanie</t>
  </si>
  <si>
    <t>Carrillo, Robert</t>
  </si>
  <si>
    <t>Carson, Anthony</t>
  </si>
  <si>
    <t>Castro, Christopher</t>
  </si>
  <si>
    <t>Chambers, Richard</t>
  </si>
  <si>
    <t>Clay, William</t>
  </si>
  <si>
    <t>Cole, Elbert</t>
  </si>
  <si>
    <t>Coleman, Roque</t>
  </si>
  <si>
    <t>Collins, Michael</t>
  </si>
  <si>
    <t>Colon, Donnie</t>
  </si>
  <si>
    <t>Combs, Rick</t>
  </si>
  <si>
    <t>Conley, Mark</t>
  </si>
  <si>
    <t>Conner, Mark</t>
  </si>
  <si>
    <t>Cox, Stephanie</t>
  </si>
  <si>
    <t>Davidson, Jaime</t>
  </si>
  <si>
    <t>Day, David</t>
  </si>
  <si>
    <t>Decker, Amy</t>
  </si>
  <si>
    <t>Diaz, David</t>
  </si>
  <si>
    <t>Dickerson, Lincoln</t>
  </si>
  <si>
    <t>Dixon, Richard</t>
  </si>
  <si>
    <t>Dominguez, Duane</t>
  </si>
  <si>
    <t>Drake, Kyle</t>
  </si>
  <si>
    <t>Eaton, Cris</t>
  </si>
  <si>
    <t>Elliott, Anthony</t>
  </si>
  <si>
    <t>English, David</t>
  </si>
  <si>
    <t>Fernandez, Marie</t>
  </si>
  <si>
    <t>Fields, Cathy</t>
  </si>
  <si>
    <t>Finley, James</t>
  </si>
  <si>
    <t>Flores, Angela</t>
  </si>
  <si>
    <t>Francis, Todd</t>
  </si>
  <si>
    <t>Frazier, Chris</t>
  </si>
  <si>
    <t>Fuller, Brenda</t>
  </si>
  <si>
    <t>Gibbs, Debra</t>
  </si>
  <si>
    <t>Glover, Eugene</t>
  </si>
  <si>
    <t>Golden, Christine</t>
  </si>
  <si>
    <t>Greene, Alexander</t>
  </si>
  <si>
    <t>Hampton, Catherine</t>
  </si>
  <si>
    <t>Harris, Brian</t>
  </si>
  <si>
    <t>Harrison, Jonathan</t>
  </si>
  <si>
    <t>Haynes, Ernest</t>
  </si>
  <si>
    <t>Heath, Deborah</t>
  </si>
  <si>
    <t>Herman, Henrietta</t>
  </si>
  <si>
    <t>Herring, Joanna</t>
  </si>
  <si>
    <t>Hobbs, Scott</t>
  </si>
  <si>
    <t>House, Paul</t>
  </si>
  <si>
    <t>Houston, Mark</t>
  </si>
  <si>
    <t>Huffman, Ignacio</t>
  </si>
  <si>
    <t>Humphrey, Andrew</t>
  </si>
  <si>
    <t>Hurst, Thomas</t>
  </si>
  <si>
    <t>Jacobs, Florianne</t>
  </si>
  <si>
    <t>Joseph, Christopher</t>
  </si>
  <si>
    <t>Kemp, Holly</t>
  </si>
  <si>
    <t>Larson, David</t>
  </si>
  <si>
    <t>Little, Steve</t>
  </si>
  <si>
    <t>Logan, Karen</t>
  </si>
  <si>
    <t>Lyons, Brian</t>
  </si>
  <si>
    <t>Manning, John</t>
  </si>
  <si>
    <t>Marshall, Anita</t>
  </si>
  <si>
    <t>McBride, Grazyna</t>
  </si>
  <si>
    <t>McCall, Keith</t>
  </si>
  <si>
    <t>McConnell, Justin</t>
  </si>
  <si>
    <t>McGee, Carol</t>
  </si>
  <si>
    <t>McGuire, Rebecca</t>
  </si>
  <si>
    <t>McKee, Michelle</t>
  </si>
  <si>
    <t>McKinney, Chris</t>
  </si>
  <si>
    <t>McLaughlin, Edward</t>
  </si>
  <si>
    <t>Melton, Scott</t>
  </si>
  <si>
    <t>Mendez, Max</t>
  </si>
  <si>
    <t>Mercado, David</t>
  </si>
  <si>
    <t>Merritt, Kevin</t>
  </si>
  <si>
    <t>Meyer, Charles</t>
  </si>
  <si>
    <t>Meyers, David</t>
  </si>
  <si>
    <t>Miller, Jessica</t>
  </si>
  <si>
    <t>Mitchell, Shannon</t>
  </si>
  <si>
    <t>Moran, Carol</t>
  </si>
  <si>
    <t>Moss, Chan</t>
  </si>
  <si>
    <t>Nash, Mark</t>
  </si>
  <si>
    <t>Oneal, William</t>
  </si>
  <si>
    <t>Osborne, Bill</t>
  </si>
  <si>
    <t>Parker, Carl</t>
  </si>
  <si>
    <t>Parrish, Debra</t>
  </si>
  <si>
    <t>Patel, Donald</t>
  </si>
  <si>
    <t>Patrick, Wendy</t>
  </si>
  <si>
    <t>Payne, Vicky</t>
  </si>
  <si>
    <t>Pearson, Cassy</t>
  </si>
  <si>
    <t>Pena, Erik</t>
  </si>
  <si>
    <t>Perez, Kim</t>
  </si>
  <si>
    <t>Peters, Robert</t>
  </si>
  <si>
    <t>Petersen, Timothy</t>
  </si>
  <si>
    <t>Pierce, Karen</t>
  </si>
  <si>
    <t>Pittman, Bacardi</t>
  </si>
  <si>
    <t>Powell, Juli</t>
  </si>
  <si>
    <t>Price, Diana</t>
  </si>
  <si>
    <t>Rhodes, Brenda</t>
  </si>
  <si>
    <t>Rice, Diane</t>
  </si>
  <si>
    <t>Richard, Karen</t>
  </si>
  <si>
    <t>Richards, Richard</t>
  </si>
  <si>
    <t>Rios, Fredrick</t>
  </si>
  <si>
    <t>DR</t>
  </si>
  <si>
    <t>Robinson, John</t>
  </si>
  <si>
    <t>Rodriguez, Scott</t>
  </si>
  <si>
    <t>Rojas, Charles</t>
  </si>
  <si>
    <t>Roth, Tony</t>
  </si>
  <si>
    <t>Ryan, Ryan</t>
  </si>
  <si>
    <t>Sanders, Troy</t>
  </si>
  <si>
    <t>Schultz, Norman</t>
  </si>
  <si>
    <t>Sexton, John</t>
  </si>
  <si>
    <t>Sharp, Janine</t>
  </si>
  <si>
    <t>Shelton, Donna</t>
  </si>
  <si>
    <t>Sloan, Cindy</t>
  </si>
  <si>
    <t>Small, Athanasios</t>
  </si>
  <si>
    <t>Smith, Koleen</t>
  </si>
  <si>
    <t>Snow, Desiree</t>
  </si>
  <si>
    <t>Stafford, Rhonda</t>
  </si>
  <si>
    <t>Stewart, Elizabeth</t>
  </si>
  <si>
    <t>Sullivan, Robert</t>
  </si>
  <si>
    <t>Summers, Harold</t>
  </si>
  <si>
    <t>Tate, Zachary</t>
  </si>
  <si>
    <t>Trujillo, Shawn</t>
  </si>
  <si>
    <t>Velasquez, Clint</t>
  </si>
  <si>
    <t>Vincent, Guy</t>
  </si>
  <si>
    <t>Walker, Mike</t>
  </si>
  <si>
    <t>Washington, Phillip</t>
  </si>
  <si>
    <t>Watson, Christian</t>
  </si>
  <si>
    <t>Weaver, Eric</t>
  </si>
  <si>
    <t>Whitaker, Jessica</t>
  </si>
  <si>
    <t>Wilkinson, Gregory</t>
  </si>
  <si>
    <t>Williamson, Sumed</t>
  </si>
  <si>
    <t>Wright, Brad</t>
  </si>
  <si>
    <t>Alexander, Charles</t>
  </si>
  <si>
    <t>Manufacturing Admin</t>
  </si>
  <si>
    <t>Carr, Susan</t>
  </si>
  <si>
    <t>Hanson, Dennis</t>
  </si>
  <si>
    <t>Hernandez, Glenn</t>
  </si>
  <si>
    <t>Roberts, Jackie</t>
  </si>
  <si>
    <t>Savage, John</t>
  </si>
  <si>
    <t>Wood, Larry</t>
  </si>
  <si>
    <t>Barr, Jennifer</t>
  </si>
  <si>
    <t>Operations</t>
  </si>
  <si>
    <t>Bishop, Juan</t>
  </si>
  <si>
    <t>Blevins, Carey</t>
  </si>
  <si>
    <t>Brooks, Richard</t>
  </si>
  <si>
    <t>Bryant, Douglas</t>
  </si>
  <si>
    <t>Buckel, Patricia</t>
  </si>
  <si>
    <t>Bush, Rena</t>
  </si>
  <si>
    <t>Caldwell, Pete</t>
  </si>
  <si>
    <t>Campbell, Michael</t>
  </si>
  <si>
    <t>Chavez, Thomas</t>
  </si>
  <si>
    <t>Everett, Dan</t>
  </si>
  <si>
    <t>Fischer, David</t>
  </si>
  <si>
    <t>Gill, Douglas</t>
  </si>
  <si>
    <t>Gonzales, David</t>
  </si>
  <si>
    <t>Griffin, Debbi</t>
  </si>
  <si>
    <t>Hamilton, Theo</t>
  </si>
  <si>
    <t>Hogan, Daniel</t>
  </si>
  <si>
    <t>Holmes, Tito</t>
  </si>
  <si>
    <t>Howard, Lisa</t>
  </si>
  <si>
    <t>Hull, Jeanne</t>
  </si>
  <si>
    <t>Ingram, Matt</t>
  </si>
  <si>
    <t>Jensen, Kristina</t>
  </si>
  <si>
    <t>Johns, Chad</t>
  </si>
  <si>
    <t>Johnston, Daniel</t>
  </si>
  <si>
    <t>Jones, John</t>
  </si>
  <si>
    <t>Knox, Lori</t>
  </si>
  <si>
    <t>Koch, Danielle</t>
  </si>
  <si>
    <t>Lambert, Jody</t>
  </si>
  <si>
    <t>Leach, Jingwen</t>
  </si>
  <si>
    <t>Love, Danny</t>
  </si>
  <si>
    <t>Lowery, Charles</t>
  </si>
  <si>
    <t>Marquez, Thomas</t>
  </si>
  <si>
    <t>McLean, Richard</t>
  </si>
  <si>
    <t>Moore, Robert</t>
  </si>
  <si>
    <t>Patton, Corey</t>
  </si>
  <si>
    <t>Prince, Robert</t>
  </si>
  <si>
    <t>Randall, Yvonne</t>
  </si>
  <si>
    <t>Reed, Larry</t>
  </si>
  <si>
    <t>Reyes, Mary</t>
  </si>
  <si>
    <t>Reynolds, Barbara</t>
  </si>
  <si>
    <t>Robles, Charles</t>
  </si>
  <si>
    <t>Ross, Janice</t>
  </si>
  <si>
    <t>Sellers, William</t>
  </si>
  <si>
    <t>Simon, Sheila</t>
  </si>
  <si>
    <t>Spears, Melanie</t>
  </si>
  <si>
    <t>Stephens, Bonnie</t>
  </si>
  <si>
    <t>Trevino, Gary</t>
  </si>
  <si>
    <t>Tucker, James</t>
  </si>
  <si>
    <t>Valdez, Ann</t>
  </si>
  <si>
    <t>Waters, Alfred</t>
  </si>
  <si>
    <t>Weeks, Troy</t>
  </si>
  <si>
    <t>Arnold, Cole</t>
  </si>
  <si>
    <t>Peptide Chemistry</t>
  </si>
  <si>
    <t>Ball, Kirk</t>
  </si>
  <si>
    <t>Bowers, Tammy</t>
  </si>
  <si>
    <t>Bryan, Thomas</t>
  </si>
  <si>
    <t>Burke, Michael</t>
  </si>
  <si>
    <t>Byrd, Asa</t>
  </si>
  <si>
    <t>Christensen, Jill</t>
  </si>
  <si>
    <t>Franklin, Alicia</t>
  </si>
  <si>
    <t>Kelly, Icelita</t>
  </si>
  <si>
    <t>Leon, Emily</t>
  </si>
  <si>
    <t>Livingston, Lynette</t>
  </si>
  <si>
    <t>Lucas, John</t>
  </si>
  <si>
    <t>Maynard, Susan</t>
  </si>
  <si>
    <t>McCarthy, Ryan</t>
  </si>
  <si>
    <t>McCullough, Scott</t>
  </si>
  <si>
    <t>Moody, Matthew</t>
  </si>
  <si>
    <t>Norman, Rita</t>
  </si>
  <si>
    <t>Owen, Robert</t>
  </si>
  <si>
    <t>Pope, Duane</t>
  </si>
  <si>
    <t>Short, Timothy</t>
  </si>
  <si>
    <t>Vaughn, Harlon</t>
  </si>
  <si>
    <t>Knight, Denise</t>
  </si>
  <si>
    <t>Pharmacokinetics</t>
  </si>
  <si>
    <t>Medina, Warren</t>
  </si>
  <si>
    <t>Stephenson, Matt</t>
  </si>
  <si>
    <t>Wall, John</t>
  </si>
  <si>
    <t>Alvarado, Sonia</t>
  </si>
  <si>
    <t>Process Development</t>
  </si>
  <si>
    <t>Anthony, Robert</t>
  </si>
  <si>
    <t>Ballard, Martin</t>
  </si>
  <si>
    <t>Banks, Ryan</t>
  </si>
  <si>
    <t>Bauer, Chris</t>
  </si>
  <si>
    <t>Bennett, Chris</t>
  </si>
  <si>
    <t>Best, Lara</t>
  </si>
  <si>
    <t>Chandler, Diane</t>
  </si>
  <si>
    <t>Cline, Rebecca</t>
  </si>
  <si>
    <t>Dudley, James</t>
  </si>
  <si>
    <t>Ellis, Brenda</t>
  </si>
  <si>
    <t>Floyd, Eric</t>
  </si>
  <si>
    <t>Fowler, John</t>
  </si>
  <si>
    <t>Garrison, Chris</t>
  </si>
  <si>
    <t>Greer, Brian</t>
  </si>
  <si>
    <t>Guerra, Karen</t>
  </si>
  <si>
    <t>Guerrero, Laura</t>
  </si>
  <si>
    <t>Hancock, Allen</t>
  </si>
  <si>
    <t>Hess, Brian</t>
  </si>
  <si>
    <t>Hines, Herb</t>
  </si>
  <si>
    <t>Hodges, Lisa</t>
  </si>
  <si>
    <t>Luna, Rodney</t>
  </si>
  <si>
    <t>Mack, Barry</t>
  </si>
  <si>
    <t>Mathews, Marcia</t>
  </si>
  <si>
    <t>McClain, Steven</t>
  </si>
  <si>
    <t>Morris, Richelle</t>
  </si>
  <si>
    <t>Mosley, Michael</t>
  </si>
  <si>
    <t>Murray, Rebecca</t>
  </si>
  <si>
    <t>Olson, Melanie</t>
  </si>
  <si>
    <t>Orr, Jennifer</t>
  </si>
  <si>
    <t>Pace, Joseph</t>
  </si>
  <si>
    <t>Peterson, Shaun</t>
  </si>
  <si>
    <t>Reeves, Greg</t>
  </si>
  <si>
    <t>Robbins, Suzanne</t>
  </si>
  <si>
    <t>Russell, Mark</t>
  </si>
  <si>
    <t>Saunders, Corey</t>
  </si>
  <si>
    <t>Sawyer, Catherine</t>
  </si>
  <si>
    <t>Skinner, Jason</t>
  </si>
  <si>
    <t>Sutton, Matthew</t>
  </si>
  <si>
    <t>Terry, Karin</t>
  </si>
  <si>
    <t>Underwood, Todd</t>
  </si>
  <si>
    <t>Walsh, Matthew</t>
  </si>
  <si>
    <t>Wong, Dennis</t>
  </si>
  <si>
    <t>Yates, Doug</t>
  </si>
  <si>
    <t>Bartlett, Julia</t>
  </si>
  <si>
    <t>Professional Training Group</t>
  </si>
  <si>
    <t>Barton, Barry</t>
  </si>
  <si>
    <t>Contreras, Dean</t>
  </si>
  <si>
    <t>Cross, Marc</t>
  </si>
  <si>
    <t>Dodson, David</t>
  </si>
  <si>
    <t>Estes, Mary</t>
  </si>
  <si>
    <t>Garza, Anthony</t>
  </si>
  <si>
    <t>Gentry, John</t>
  </si>
  <si>
    <t>Hartman, Michael</t>
  </si>
  <si>
    <t>Lamb, John</t>
  </si>
  <si>
    <t>Maldonado, Robert</t>
  </si>
  <si>
    <t>Parsons, Phillip</t>
  </si>
  <si>
    <t>Rodriquez, Denise</t>
  </si>
  <si>
    <t>Watts, Curtis</t>
  </si>
  <si>
    <t>Webb, Jim</t>
  </si>
  <si>
    <t>Williams, Scott</t>
  </si>
  <si>
    <t>Anderson, Teason</t>
  </si>
  <si>
    <t>Project &amp; Contract Services</t>
  </si>
  <si>
    <t>Andrews, Diane</t>
  </si>
  <si>
    <t>Ashley, Michael</t>
  </si>
  <si>
    <t>Atkinson, Danielle</t>
  </si>
  <si>
    <t>Austin, William</t>
  </si>
  <si>
    <t>Ayala, Polly</t>
  </si>
  <si>
    <t>Barker, Heidi</t>
  </si>
  <si>
    <t>Bean, Deborah</t>
  </si>
  <si>
    <t>Booth, Raquel</t>
  </si>
  <si>
    <t>Bowman, Michael</t>
  </si>
  <si>
    <t>Burnett, Kevin</t>
  </si>
  <si>
    <t>c</t>
  </si>
  <si>
    <t>Cain, Lon</t>
  </si>
  <si>
    <t>Cameron, John</t>
  </si>
  <si>
    <t>Cannon, Jenny</t>
  </si>
  <si>
    <t>Carter, Allan</t>
  </si>
  <si>
    <t>Castillo, Sheri</t>
  </si>
  <si>
    <t>Chapman, Jessica</t>
  </si>
  <si>
    <t>Christian, Melissa</t>
  </si>
  <si>
    <t>Cobb, Nicole</t>
  </si>
  <si>
    <t>Curry, Hunyen</t>
  </si>
  <si>
    <t>Delgado, Dale</t>
  </si>
  <si>
    <t>Doyle, Leslie</t>
  </si>
  <si>
    <t>Edwards, Phillip</t>
  </si>
  <si>
    <t>Espinoza, Derrell</t>
  </si>
  <si>
    <t>Farmer, Suzanne</t>
  </si>
  <si>
    <t>Fitzgerald, George</t>
  </si>
  <si>
    <t>Ford, Matt</t>
  </si>
  <si>
    <t>Fox, Ellen</t>
  </si>
  <si>
    <t>Frank, William</t>
  </si>
  <si>
    <t>Freeman, Dennis</t>
  </si>
  <si>
    <t>French, Robert</t>
  </si>
  <si>
    <t>Frost, Adam</t>
  </si>
  <si>
    <t>Gilbert, Shannon</t>
  </si>
  <si>
    <t>Glass, John</t>
  </si>
  <si>
    <t>Gordon, Diane</t>
  </si>
  <si>
    <t>Grant, Leonard</t>
  </si>
  <si>
    <t>Gutierrez, Regina</t>
  </si>
  <si>
    <t>Harper, Cynthia</t>
  </si>
  <si>
    <t>Hayes, Edward</t>
  </si>
  <si>
    <t>Henson, Debra</t>
  </si>
  <si>
    <t>Herrera, Shawn</t>
  </si>
  <si>
    <t>Higgins, Angela</t>
  </si>
  <si>
    <t>Holloway, Chris</t>
  </si>
  <si>
    <t>Horn, George</t>
  </si>
  <si>
    <t>Howell, Douglas</t>
  </si>
  <si>
    <t>Hunter, Lisa</t>
  </si>
  <si>
    <t>Jackson, Eric</t>
  </si>
  <si>
    <t>Jefferson, Elaine</t>
  </si>
  <si>
    <t>Jenkins, Scott</t>
  </si>
  <si>
    <t>Jennings, Gary</t>
  </si>
  <si>
    <t>Kirby, Michael</t>
  </si>
  <si>
    <t>Lawson, Erin</t>
  </si>
  <si>
    <t>Lindsey, Deborah</t>
  </si>
  <si>
    <t>Long, Gary</t>
  </si>
  <si>
    <t>Lynch, Scott</t>
  </si>
  <si>
    <t>Mann, Lowell</t>
  </si>
  <si>
    <t>Morrow, Richard</t>
  </si>
  <si>
    <t>Morton, Brian</t>
  </si>
  <si>
    <t>Moses, Mark</t>
  </si>
  <si>
    <t>Neal, Sally</t>
  </si>
  <si>
    <t>Preston, Chris</t>
  </si>
  <si>
    <t>Ramsey, Nathaniel</t>
  </si>
  <si>
    <t>Reid, Elizabeth</t>
  </si>
  <si>
    <t>Rivers, Douglas</t>
  </si>
  <si>
    <t>Roman, Teri</t>
  </si>
  <si>
    <t>Schmidt, Michael</t>
  </si>
  <si>
    <t>Scott, Todd</t>
  </si>
  <si>
    <t>Serrano, Al</t>
  </si>
  <si>
    <t>Shannon, Kevin</t>
  </si>
  <si>
    <t>Shaw, Pat</t>
  </si>
  <si>
    <t>Shepherd, Annie</t>
  </si>
  <si>
    <t>Solis, Daniel</t>
  </si>
  <si>
    <t>Soto, Christopher</t>
  </si>
  <si>
    <t>Stanley, Eric</t>
  </si>
  <si>
    <t>Vargas, Bryant</t>
  </si>
  <si>
    <t>Vasquez, Michael</t>
  </si>
  <si>
    <t>Villarreal, Stephen</t>
  </si>
  <si>
    <t>Walls, Brian</t>
  </si>
  <si>
    <t>Walters, Ann</t>
  </si>
  <si>
    <t>Ward, Williams</t>
  </si>
  <si>
    <t>Watkins, Gary</t>
  </si>
  <si>
    <t>Wells, Carlos</t>
  </si>
  <si>
    <t>West, Jeffrey</t>
  </si>
  <si>
    <t>Wiley, Gustavo</t>
  </si>
  <si>
    <t>William, William</t>
  </si>
  <si>
    <t>Wilson, Jessica</t>
  </si>
  <si>
    <t>Woodard, Charles</t>
  </si>
  <si>
    <t>Abbott, James</t>
  </si>
  <si>
    <t>Quality Assurance</t>
  </si>
  <si>
    <t>Acosta, Robert</t>
  </si>
  <si>
    <t>Adkins, Michael</t>
  </si>
  <si>
    <t>Aguilar, Kevin</t>
  </si>
  <si>
    <t>Alvarez, Steven</t>
  </si>
  <si>
    <t>Avila, Jody</t>
  </si>
  <si>
    <t>Baldwin, Ray</t>
  </si>
  <si>
    <t>Barnes, Grant</t>
  </si>
  <si>
    <t>Black, Cliff</t>
  </si>
  <si>
    <t>Blankenship, Roger</t>
  </si>
  <si>
    <t>Branch, Brady</t>
  </si>
  <si>
    <t>Bruce, Kevin</t>
  </si>
  <si>
    <t>Carpenter, Ronald</t>
  </si>
  <si>
    <t>Charles, Jeffrey</t>
  </si>
  <si>
    <t>Clark, William</t>
  </si>
  <si>
    <t>Collier, Dean</t>
  </si>
  <si>
    <t>Cooper, Lisa</t>
  </si>
  <si>
    <t>Dean, Gayla</t>
  </si>
  <si>
    <t>Dennis, Paul</t>
  </si>
  <si>
    <t>Duncan, George</t>
  </si>
  <si>
    <t>Dyer, Carrie</t>
  </si>
  <si>
    <t>Ferguson, John</t>
  </si>
  <si>
    <t>Fisher, Maria</t>
  </si>
  <si>
    <t>Foster, Blane</t>
  </si>
  <si>
    <t>Gaines, Sheela</t>
  </si>
  <si>
    <t>Glenn, Christopher</t>
  </si>
  <si>
    <t>Guzman, Don</t>
  </si>
  <si>
    <t>Harrell, Cristin</t>
  </si>
  <si>
    <t>Harrington, Aron</t>
  </si>
  <si>
    <t>Hatfield, Carl</t>
  </si>
  <si>
    <t>Henry, Craig</t>
  </si>
  <si>
    <t>Hodge, Craig</t>
  </si>
  <si>
    <t>Hoffman, Brian D</t>
  </si>
  <si>
    <t>Holt, Robert</t>
  </si>
  <si>
    <t>Hoover, Evangeline</t>
  </si>
  <si>
    <t>Horton, Cleatis</t>
  </si>
  <si>
    <t>Hughes, Kevin</t>
  </si>
  <si>
    <t>Johnson, Mary Jo</t>
  </si>
  <si>
    <t>King, Taslim</t>
  </si>
  <si>
    <t>Kirk, Chris</t>
  </si>
  <si>
    <t>Lane, Brandyn</t>
  </si>
  <si>
    <t>Marks, LaReina</t>
  </si>
  <si>
    <t>Mason, Suzanne</t>
  </si>
  <si>
    <t>Massey, Mark</t>
  </si>
  <si>
    <t>McCormick, Hsi</t>
  </si>
  <si>
    <t>McDaniel, Tamara</t>
  </si>
  <si>
    <t>Middleton, Jen</t>
  </si>
  <si>
    <t>Miles, Kenneth</t>
  </si>
  <si>
    <t>Monroe, Justin</t>
  </si>
  <si>
    <t>Moreno, Chris</t>
  </si>
  <si>
    <t>Munoz, Michael</t>
  </si>
  <si>
    <t>Murphy, Jeff</t>
  </si>
  <si>
    <t>Obrien, Madelyn</t>
  </si>
  <si>
    <t>Owens, Dwight</t>
  </si>
  <si>
    <t>Paul, Michael</t>
  </si>
  <si>
    <t>Pugh, Lawrence</t>
  </si>
  <si>
    <t>Rogers, Colleen</t>
  </si>
  <si>
    <t>Ruiz, Randall</t>
  </si>
  <si>
    <t>Rush, Lateef</t>
  </si>
  <si>
    <t>Santiago, Michael</t>
  </si>
  <si>
    <t>Schroeder, Bennet</t>
  </si>
  <si>
    <t>Solomon, Michael</t>
  </si>
  <si>
    <t>Stevens, Andrew</t>
  </si>
  <si>
    <t>Strong, Lisa</t>
  </si>
  <si>
    <t>Torres, Bruce</t>
  </si>
  <si>
    <t>Turner, Ray</t>
  </si>
  <si>
    <t>Tyler, Javier</t>
  </si>
  <si>
    <t>Vega, Alexandra</t>
  </si>
  <si>
    <t>Velez, Letitia</t>
  </si>
  <si>
    <t>Walter, Michael</t>
  </si>
  <si>
    <t>Warner, Stephen</t>
  </si>
  <si>
    <t>Wilcox, Robert</t>
  </si>
  <si>
    <t>Woods, Marcus</t>
  </si>
  <si>
    <t>Armstrong, David</t>
  </si>
  <si>
    <t>Quality Control</t>
  </si>
  <si>
    <t>Barrett, John</t>
  </si>
  <si>
    <t>Beard, Sandi</t>
  </si>
  <si>
    <t>Beasley, Timothy</t>
  </si>
  <si>
    <t>Blackwell, Brandon</t>
  </si>
  <si>
    <t>Blake, Thomas</t>
  </si>
  <si>
    <t>Bowen, Kes</t>
  </si>
  <si>
    <t>Brown, Donald</t>
  </si>
  <si>
    <t>Buchanan, Dennis</t>
  </si>
  <si>
    <t>Casey, Ronald</t>
  </si>
  <si>
    <t>Cochran, Andrea</t>
  </si>
  <si>
    <t>Cook, Mark</t>
  </si>
  <si>
    <t>Craig, Alan</t>
  </si>
  <si>
    <t>Crawford, Ronald</t>
  </si>
  <si>
    <t>Cruz, Janene</t>
  </si>
  <si>
    <t>Daniels, Janet</t>
  </si>
  <si>
    <t>Davenport, Troy</t>
  </si>
  <si>
    <t>Davis, Tonya</t>
  </si>
  <si>
    <t>Ellison, Melyssa</t>
  </si>
  <si>
    <t>Erickson, Ricky</t>
  </si>
  <si>
    <t>Garcia, Karen</t>
  </si>
  <si>
    <t>Garrett, Chris</t>
  </si>
  <si>
    <t>George, Jessica</t>
  </si>
  <si>
    <t>Gibson, Janet</t>
  </si>
  <si>
    <t>Giles, Kathleen</t>
  </si>
  <si>
    <t>Gonzalez, David</t>
  </si>
  <si>
    <t>Goodwin, April</t>
  </si>
  <si>
    <t>Graham, David</t>
  </si>
  <si>
    <t>Graves, Michael</t>
  </si>
  <si>
    <t>Gray, Mark</t>
  </si>
  <si>
    <t>Grimes, Jeffrey</t>
  </si>
  <si>
    <t>Hall, Jenny</t>
  </si>
  <si>
    <t>Hansen, Andrew</t>
  </si>
  <si>
    <t>Hart, Richard</t>
  </si>
  <si>
    <t>Harvey, Michael</t>
  </si>
  <si>
    <t>Henderson, Anthony</t>
  </si>
  <si>
    <t>Hensley, William</t>
  </si>
  <si>
    <t>Hicks, Monica</t>
  </si>
  <si>
    <t>Hopkins, Lisa</t>
  </si>
  <si>
    <t>Hubbard, Sandra</t>
  </si>
  <si>
    <t>Hunt, Norman</t>
  </si>
  <si>
    <t>Jimenez, Dominic</t>
  </si>
  <si>
    <t>Keith, Thomas</t>
  </si>
  <si>
    <t>Keller, Jason</t>
  </si>
  <si>
    <t>Kelley, Nancy</t>
  </si>
  <si>
    <t>Kennedy, Kimberly</t>
  </si>
  <si>
    <t>Klein, Robert</t>
  </si>
  <si>
    <t>Kramer, Faye</t>
  </si>
  <si>
    <t>Lang, Dana</t>
  </si>
  <si>
    <t>Larsen, Lara</t>
  </si>
  <si>
    <t>Leonard, Paul</t>
  </si>
  <si>
    <t>Lester, Sherri</t>
  </si>
  <si>
    <t>Lewis, Frederick</t>
  </si>
  <si>
    <t>Lopez, Stephen</t>
  </si>
  <si>
    <t>Marsh, Cynthia</t>
  </si>
  <si>
    <t>Martin, Terry</t>
  </si>
  <si>
    <t>McClure, Gary</t>
  </si>
  <si>
    <t>McIntosh, Jeremy</t>
  </si>
  <si>
    <t>Mills, Melissa</t>
  </si>
  <si>
    <t>Morales, Linda</t>
  </si>
  <si>
    <t>Morrison, Julie</t>
  </si>
  <si>
    <t>Mueller, Philip</t>
  </si>
  <si>
    <t>Myers, Marc</t>
  </si>
  <si>
    <t>Newman, Aria</t>
  </si>
  <si>
    <t>Ortega, Jeffrey</t>
  </si>
  <si>
    <t>Ortiz, Cynthia</t>
  </si>
  <si>
    <t>Palmer, Terry</t>
  </si>
  <si>
    <t>Parks, Christopher</t>
  </si>
  <si>
    <t>Pennington, Gary</t>
  </si>
  <si>
    <t>Quinn, Cinnamon</t>
  </si>
  <si>
    <t>Ramirez, Keith</t>
  </si>
  <si>
    <t>Rivera, Timothy</t>
  </si>
  <si>
    <t>Rodgers, Daniel</t>
  </si>
  <si>
    <t>Rose, Mark</t>
  </si>
  <si>
    <t>Roy, Margarita</t>
  </si>
  <si>
    <t>Salazar, Ruben</t>
  </si>
  <si>
    <t>Salinas, Jon</t>
  </si>
  <si>
    <t>Sanchez, Greg</t>
  </si>
  <si>
    <t>Sandoval, James</t>
  </si>
  <si>
    <t>Schwartz, Joseph</t>
  </si>
  <si>
    <t>Sheppard, Curtis</t>
  </si>
  <si>
    <t>Sims, Don</t>
  </si>
  <si>
    <t>Singleton, David</t>
  </si>
  <si>
    <t>Snyder, Duane</t>
  </si>
  <si>
    <t>Sparks, Terri</t>
  </si>
  <si>
    <t>Stevenson, Michael</t>
  </si>
  <si>
    <t>Sweeney, Barbara</t>
  </si>
  <si>
    <t>Thomas, Shannon</t>
  </si>
  <si>
    <t>Ware, David</t>
  </si>
  <si>
    <t>Webster, David</t>
  </si>
  <si>
    <t>Welch, Michael</t>
  </si>
  <si>
    <t>Wilkerson, Claudia</t>
  </si>
  <si>
    <t>Willis, Ralph</t>
  </si>
  <si>
    <t>Zimmerman, Julian</t>
  </si>
  <si>
    <t>Bailey, Victor</t>
  </si>
  <si>
    <t>Research Center</t>
  </si>
  <si>
    <t>Dalton, Carol</t>
  </si>
  <si>
    <t>Leblanc, Jenny</t>
  </si>
  <si>
    <t>Montoya, Lisa</t>
  </si>
  <si>
    <t>Patterson, Robert</t>
  </si>
  <si>
    <t>Bradshaw, Sheryl</t>
  </si>
  <si>
    <t>Research/Development</t>
  </si>
  <si>
    <t>Flynn, Melissa</t>
  </si>
  <si>
    <t>Green, Kim</t>
  </si>
  <si>
    <t>Olsen, Ewan</t>
  </si>
  <si>
    <t>Riley, David</t>
  </si>
  <si>
    <t>ADC Count = 6</t>
  </si>
  <si>
    <t>Admin Training Count = 17</t>
  </si>
  <si>
    <t>Audit Services Count = 10</t>
  </si>
  <si>
    <t>Compliance Count = 4</t>
  </si>
  <si>
    <t>Engineering/Maintenance Count = 60</t>
  </si>
  <si>
    <t>Engineering/Operations Count = 8</t>
  </si>
  <si>
    <t>Environmental Health/Safety Count = 9</t>
  </si>
  <si>
    <t>Executive Education Count = 19</t>
  </si>
  <si>
    <t>International Clinical Safety Count = 6</t>
  </si>
  <si>
    <t>Logistics Count = 39</t>
  </si>
  <si>
    <t>Major Mfg Projects Count = 8</t>
  </si>
  <si>
    <t>Manufacturing Count = 154</t>
  </si>
  <si>
    <t>Manufacturing Admin Count = 7</t>
  </si>
  <si>
    <t>Operations Count = 55</t>
  </si>
  <si>
    <t>Peptide Chemistry Count = 21</t>
  </si>
  <si>
    <t>Pharmacokinetics Count = 4</t>
  </si>
  <si>
    <t>Process Development Count = 44</t>
  </si>
  <si>
    <t>Professional Training Group Count = 16</t>
  </si>
  <si>
    <t>Project &amp; Contract Services Count = 91</t>
  </si>
  <si>
    <t>Quality Assurance Count = 76</t>
  </si>
  <si>
    <t>Quality Control Count = 96</t>
  </si>
  <si>
    <t>Research Center Count = 5</t>
  </si>
  <si>
    <t>Research/Development Count = 6</t>
  </si>
  <si>
    <t>Carlson, Jeremy</t>
  </si>
  <si>
    <t>Brewer, Khurrum</t>
  </si>
  <si>
    <t>Rate</t>
  </si>
  <si>
    <t>Rating</t>
  </si>
  <si>
    <t>Service</t>
  </si>
  <si>
    <t>Date</t>
  </si>
  <si>
    <t>Number</t>
  </si>
  <si>
    <t>Employee
Name</t>
  </si>
  <si>
    <t>Tax</t>
  </si>
  <si>
    <t>Projected</t>
  </si>
  <si>
    <t>Job</t>
  </si>
  <si>
    <t>Current</t>
  </si>
  <si>
    <t>Years of</t>
  </si>
  <si>
    <t>Anniversary</t>
  </si>
  <si>
    <t>Hire</t>
  </si>
  <si>
    <t>Employment</t>
  </si>
  <si>
    <t>SS</t>
  </si>
  <si>
    <t>Employee</t>
  </si>
  <si>
    <t>6/23/2004 - 3/25/2006</t>
  </si>
  <si>
    <t>2001 September 24</t>
  </si>
  <si>
    <t>Los Altos, CA   94022</t>
  </si>
  <si>
    <t>4559 Calhoun Ct.</t>
  </si>
  <si>
    <t>Henrietta Herman</t>
  </si>
  <si>
    <t>10/30/2011 - 8/9/2013</t>
  </si>
  <si>
    <t>2007 April 21</t>
  </si>
  <si>
    <t>Atlanta, GA   30326</t>
  </si>
  <si>
    <t>3296 North Ave.</t>
  </si>
  <si>
    <t>Fiona Burns</t>
  </si>
  <si>
    <t>10/29/2013 - 6/28/2015</t>
  </si>
  <si>
    <t>2010 October 23</t>
  </si>
  <si>
    <t>Boston, MA   02108</t>
  </si>
  <si>
    <t>6258 Arthur St.</t>
  </si>
  <si>
    <t>Keith McCall</t>
  </si>
  <si>
    <t>3/20/2012 - 8/22/2013</t>
  </si>
  <si>
    <t>2008 May 17</t>
  </si>
  <si>
    <t>San Antonio, TX   78257</t>
  </si>
  <si>
    <t>6627 Cherry Lane</t>
  </si>
  <si>
    <t>Charles Rojas</t>
  </si>
  <si>
    <t>8/14/2005 - 4/11/2007</t>
  </si>
  <si>
    <t>2002 September 5</t>
  </si>
  <si>
    <t>Medina, WA   98039</t>
  </si>
  <si>
    <t>2514 Buren Ct.</t>
  </si>
  <si>
    <t>Mark Conner</t>
  </si>
  <si>
    <t>7/22/2013 - 4/11/2015</t>
  </si>
  <si>
    <t>2011 September 26</t>
  </si>
  <si>
    <t>Scarsdale, NY   10583</t>
  </si>
  <si>
    <t>9232 Quayle Ave.</t>
  </si>
  <si>
    <t>Stephanie Cox</t>
  </si>
  <si>
    <t>2/12/2011 - 8/3/2012</t>
  </si>
  <si>
    <t>2008 December 2</t>
  </si>
  <si>
    <t>Winnetka, IL   60093</t>
  </si>
  <si>
    <t>2403 Tompkins Lane</t>
  </si>
  <si>
    <t>Norman Schultz</t>
  </si>
  <si>
    <t>8/25/1998 - 5/23/2000</t>
  </si>
  <si>
    <t>1994 September 15</t>
  </si>
  <si>
    <t>Santa Monica, CA   90402</t>
  </si>
  <si>
    <t>7265 Morton Lane</t>
  </si>
  <si>
    <t>Richard Dixon</t>
  </si>
  <si>
    <t>10/16/2011 - 5/16/2013</t>
  </si>
  <si>
    <t>2011 November 7</t>
  </si>
  <si>
    <t>South Beach, FL   32963</t>
  </si>
  <si>
    <t>8294 Maple St.</t>
  </si>
  <si>
    <t>Guy Vincent</t>
  </si>
  <si>
    <t>12/24/1997 - 7/29/1999</t>
  </si>
  <si>
    <t>1993 November 28</t>
  </si>
  <si>
    <t>Larchmont, NY   10538</t>
  </si>
  <si>
    <t>7686 Elm Lane</t>
  </si>
  <si>
    <t>Mark Conley</t>
  </si>
  <si>
    <t>8/22/1989 - 5/26/1991</t>
  </si>
  <si>
    <t>1985 November 10</t>
  </si>
  <si>
    <t>Los Angeles, CA   90067</t>
  </si>
  <si>
    <t>9713 Monroe Blvd.</t>
  </si>
  <si>
    <t>Scott Rodriguez</t>
  </si>
  <si>
    <t>8/16/1998 - 12/31/1999</t>
  </si>
  <si>
    <t>1995 December 21</t>
  </si>
  <si>
    <t>Beverly Hills, CA   90210</t>
  </si>
  <si>
    <t>1541 Pierce Blvd.</t>
  </si>
  <si>
    <t>Donald Patel</t>
  </si>
  <si>
    <t>1/12/2013 - 11/17/2014</t>
  </si>
  <si>
    <t>2010 July 22</t>
  </si>
  <si>
    <t>Rancho Santa Fe, CA   92067</t>
  </si>
  <si>
    <t>6521 King Blvd.</t>
  </si>
  <si>
    <t>David Mercado</t>
  </si>
  <si>
    <t>9/11/2003 - 2/20/2005</t>
  </si>
  <si>
    <t>2000 August 9</t>
  </si>
  <si>
    <t>Richmond, VA   23219</t>
  </si>
  <si>
    <t>4216 Oak Ct.</t>
  </si>
  <si>
    <t>Teresa Baxter</t>
  </si>
  <si>
    <t>12/31/2002 - 8/28/2004</t>
  </si>
  <si>
    <t>2000 April 22</t>
  </si>
  <si>
    <t>New York, NY   10004</t>
  </si>
  <si>
    <t>8015 Eisenhower Ave.</t>
  </si>
  <si>
    <t>Zachary Tate</t>
  </si>
  <si>
    <t>3/5/2014 - 12/21/2015</t>
  </si>
  <si>
    <t>2010 December 23</t>
  </si>
  <si>
    <t>Rye, NY   10580</t>
  </si>
  <si>
    <t>6699 Coolidge Lane</t>
  </si>
  <si>
    <t>Karen Logan</t>
  </si>
  <si>
    <t>10/7/2013 - 6/12/2015</t>
  </si>
  <si>
    <t>2010 January 7</t>
  </si>
  <si>
    <t>Mountain Lakes, NJ   07046</t>
  </si>
  <si>
    <t>3218 Main Lane</t>
  </si>
  <si>
    <t>Athanasios Small</t>
  </si>
  <si>
    <t>4/4/2011 - 1/20/2013</t>
  </si>
  <si>
    <t>2008 August 16</t>
  </si>
  <si>
    <t>Lake Forest, IL   60045</t>
  </si>
  <si>
    <t>2370 Pine Blvd.</t>
  </si>
  <si>
    <t>Karen Pierce</t>
  </si>
  <si>
    <t>5/19/1999 - 3/30/2001</t>
  </si>
  <si>
    <t>1995 August 13</t>
  </si>
  <si>
    <t>Kenilworth, IL   60043</t>
  </si>
  <si>
    <t>2981 Truman St.</t>
  </si>
  <si>
    <t>Christopher Castro</t>
  </si>
  <si>
    <t>11/5/1991 - 8/1/1993</t>
  </si>
  <si>
    <t>1987 November 15</t>
  </si>
  <si>
    <t>Redwood City, CA   94062</t>
  </si>
  <si>
    <t>5506 Dallas Ct.</t>
  </si>
  <si>
    <t>Fredrick Rios</t>
  </si>
  <si>
    <t>12/9/1991 - 5/26/1993</t>
  </si>
  <si>
    <t>1988 September 3</t>
  </si>
  <si>
    <t>Darien, CT   06820</t>
  </si>
  <si>
    <t>4725 Garfield Blvd.</t>
  </si>
  <si>
    <t>Richard Campos</t>
  </si>
  <si>
    <t>6/25/2008 - 4/19/2010</t>
  </si>
  <si>
    <t>2005 April 4</t>
  </si>
  <si>
    <t>Scotts Corners, NY   10576</t>
  </si>
  <si>
    <t>4299 Clinton Ave.</t>
  </si>
  <si>
    <t>Kenneth Douglas</t>
  </si>
  <si>
    <t>6/27/1999 - 11/10/2000</t>
  </si>
  <si>
    <t>1996 August 17</t>
  </si>
  <si>
    <t>Norwalk, CT   06853</t>
  </si>
  <si>
    <t>9701 Ford Ct.</t>
  </si>
  <si>
    <t>Terry Gilmore</t>
  </si>
  <si>
    <t>8/12/1990 - 2/18/1992</t>
  </si>
  <si>
    <t>1986 March 6</t>
  </si>
  <si>
    <t>Kings Point, NY   11024</t>
  </si>
  <si>
    <t>9447 Washington Ave.</t>
  </si>
  <si>
    <t>Elena Miranda</t>
  </si>
  <si>
    <t>10/30/1991 - 7/7/1993</t>
  </si>
  <si>
    <t>1987 September 12</t>
  </si>
  <si>
    <t>Manhasset, NY   11030</t>
  </si>
  <si>
    <t>1344 Hayes Lane</t>
  </si>
  <si>
    <t>Kristin Randolph</t>
  </si>
  <si>
    <t>10/19/2000 - 3/17/2002</t>
  </si>
  <si>
    <t>1996 July 22</t>
  </si>
  <si>
    <t>Alpine, NJ   07620</t>
  </si>
  <si>
    <t>1571 Nixon Lane</t>
  </si>
  <si>
    <t>Randy Romero</t>
  </si>
  <si>
    <t>7/7/2001 - 12/6/2002</t>
  </si>
  <si>
    <t>1997 April 23</t>
  </si>
  <si>
    <t>Potomac, MD   20854</t>
  </si>
  <si>
    <t>8035 South Blvd.</t>
  </si>
  <si>
    <t>Eric Boone</t>
  </si>
  <si>
    <t>5/10/1989 - 3/13/1991</t>
  </si>
  <si>
    <t>1986 December 7</t>
  </si>
  <si>
    <t>Boca Grande, FL   33921</t>
  </si>
  <si>
    <t>9985 Willow Blvd.</t>
  </si>
  <si>
    <t>Chad Tran</t>
  </si>
  <si>
    <t>3/25/2005 - 2/17/2007</t>
  </si>
  <si>
    <t>2001 December 13</t>
  </si>
  <si>
    <t>Palo Alto, CA   94301</t>
  </si>
  <si>
    <t>2114 Taft Lane</t>
  </si>
  <si>
    <t>Christopher Padilla</t>
  </si>
  <si>
    <t>3/17/1996 - 12/16/1997</t>
  </si>
  <si>
    <t>1993 August 24</t>
  </si>
  <si>
    <t>Armonk, NY   10504</t>
  </si>
  <si>
    <t>3545 Tyler Ct.</t>
  </si>
  <si>
    <t>Jose Cummings</t>
  </si>
  <si>
    <t>2/18/1992 - 8/19/1993</t>
  </si>
  <si>
    <t>1989 March 1</t>
  </si>
  <si>
    <t>Houston, TX   77002</t>
  </si>
  <si>
    <t>5146 Reagan St.</t>
  </si>
  <si>
    <t>Michelle Lowe</t>
  </si>
  <si>
    <t>10/11/2007 - 3/18/2009</t>
  </si>
  <si>
    <t>2004 February 24</t>
  </si>
  <si>
    <t>Old Westbury, NY   11568</t>
  </si>
  <si>
    <t>7741 Garner Ct.</t>
  </si>
  <si>
    <t>Marc Reese</t>
  </si>
  <si>
    <t>11/6/1996 - 10/5/1998</t>
  </si>
  <si>
    <t>1993 December 2</t>
  </si>
  <si>
    <t>Chappaqua, NY   10514</t>
  </si>
  <si>
    <t>18 Burr St.</t>
  </si>
  <si>
    <t>Jaime Chen</t>
  </si>
  <si>
    <t>5/10/1994 - 1/25/1996</t>
  </si>
  <si>
    <t>1991 July 7</t>
  </si>
  <si>
    <t>Naples Park, FL   34108</t>
  </si>
  <si>
    <t>7727 South Blvd.</t>
  </si>
  <si>
    <t>Shari Mathis</t>
  </si>
  <si>
    <t>6/12/2015 - 3/16/2017</t>
  </si>
  <si>
    <t>2011 June 10</t>
  </si>
  <si>
    <t xml:space="preserve"> 345 Kennedy St.</t>
  </si>
  <si>
    <t>Lynne Wagner</t>
  </si>
  <si>
    <t>1/4/2013 - 10/29/2014</t>
  </si>
  <si>
    <t>2009 February 1</t>
  </si>
  <si>
    <t>Belvedere, CA   94920</t>
  </si>
  <si>
    <t>2605 Wilson Ct.</t>
  </si>
  <si>
    <t>Dennis Clarke</t>
  </si>
  <si>
    <t>5/5/2013 - 1/12/2015</t>
  </si>
  <si>
    <t>2009 October 15</t>
  </si>
  <si>
    <t>Chicago, IL   60606</t>
  </si>
  <si>
    <t>180 Carter St.</t>
  </si>
  <si>
    <t>Francisco Oliver</t>
  </si>
  <si>
    <t>9/18/2006 - 2/1/2008</t>
  </si>
  <si>
    <t>2003 February 6</t>
  </si>
  <si>
    <t>Longboat Key, FL   34228</t>
  </si>
  <si>
    <t>8376 Spruce Ave.</t>
  </si>
  <si>
    <t>Joan Estrada</t>
  </si>
  <si>
    <t>2/27/2007 - 11/12/2008</t>
  </si>
  <si>
    <t>2004 March 9</t>
  </si>
  <si>
    <t>Newport Coast, CA   92657</t>
  </si>
  <si>
    <t>9416 Fairbanks Ct.</t>
  </si>
  <si>
    <t>Jerry Townsend</t>
  </si>
  <si>
    <t>10/27/2003 - 6/9/2005</t>
  </si>
  <si>
    <t>1999 April 7</t>
  </si>
  <si>
    <t>Essex Fells, NJ   07021</t>
  </si>
  <si>
    <t>4967 Harding Ct.</t>
  </si>
  <si>
    <t>Ted Wise</t>
  </si>
  <si>
    <t>5/14/2000 - 4/3/2002</t>
  </si>
  <si>
    <t>1996 September 19</t>
  </si>
  <si>
    <t>Dover, MA   02030</t>
  </si>
  <si>
    <t>4675 Hamlin Ave.</t>
  </si>
  <si>
    <t>Garret Santos</t>
  </si>
  <si>
    <t>10/18/1989 - 8/8/1991</t>
  </si>
  <si>
    <t>1986 November 11</t>
  </si>
  <si>
    <t>Great Falls, VA   22066</t>
  </si>
  <si>
    <t>8945 Marshall Blvd.</t>
  </si>
  <si>
    <t>Rolin Evans</t>
  </si>
  <si>
    <t>4/28/1995 - 1/3/1997</t>
  </si>
  <si>
    <t>1992 March 1</t>
  </si>
  <si>
    <t>Far Hills, NJ   07931</t>
  </si>
  <si>
    <t>321 Hendricks Lane</t>
  </si>
  <si>
    <t>Brent Rich</t>
  </si>
  <si>
    <t>5/21/2000 - 1/10/2002</t>
  </si>
  <si>
    <t>Bedford, NY   10506</t>
  </si>
  <si>
    <t>5907 Roosevelt Ct.</t>
  </si>
  <si>
    <t>Mark Jordan</t>
  </si>
  <si>
    <t>4/11/1991 - 10/10/1992</t>
  </si>
  <si>
    <t>1987 March 25</t>
  </si>
  <si>
    <t>Hunters Creek Village, TX   77024</t>
  </si>
  <si>
    <t>7686 Stevenson Ave.</t>
  </si>
  <si>
    <t>Michael Noble</t>
  </si>
  <si>
    <t>11/20/2012 - 9/10/2014</t>
  </si>
  <si>
    <t>2010 November 26</t>
  </si>
  <si>
    <t>Dallas, TX   75205</t>
  </si>
  <si>
    <t>6694 Fillmore Lane</t>
  </si>
  <si>
    <t>Leigh Newton</t>
  </si>
  <si>
    <t>3/13/2012 - 8/12/2013</t>
  </si>
  <si>
    <t>2011 August 27</t>
  </si>
  <si>
    <t>Naples, FL   34102</t>
  </si>
  <si>
    <t>9274 Jackson Blvd.</t>
  </si>
  <si>
    <t>Davin Gross</t>
  </si>
  <si>
    <t>7/12/2006 - 4/10/2008</t>
  </si>
  <si>
    <t>2003 July 9</t>
  </si>
  <si>
    <t>Charlotte, NC   28207</t>
  </si>
  <si>
    <t>4192 Bush St.</t>
  </si>
  <si>
    <t>Michael Morse</t>
  </si>
  <si>
    <t>9/8/1999 - 8/6/2001</t>
  </si>
  <si>
    <t>1995 July 14</t>
  </si>
  <si>
    <t>Weston, MA   02493</t>
  </si>
  <si>
    <t>2181 Rockefeller Lane</t>
  </si>
  <si>
    <t>Rick Gallegos</t>
  </si>
  <si>
    <t>4/25/1988 - 1/26/1990</t>
  </si>
  <si>
    <t>1985 March 27</t>
  </si>
  <si>
    <t>543 Mondale Lane</t>
  </si>
  <si>
    <t>Patrick Curtis</t>
  </si>
  <si>
    <t>4/27/1998 - 2/10/2000</t>
  </si>
  <si>
    <t>1995 October 15</t>
  </si>
  <si>
    <t>Palm Beach, FL   33480</t>
  </si>
  <si>
    <t>3513 Breckinridge Blvd.</t>
  </si>
  <si>
    <t>Charles Lee</t>
  </si>
  <si>
    <t>7/20/1997 - 1/10/1999</t>
  </si>
  <si>
    <t>1994 July 25</t>
  </si>
  <si>
    <t>Mendham, NJ   07945</t>
  </si>
  <si>
    <t>7264 Main Lane</t>
  </si>
  <si>
    <t>Chris Montgomery</t>
  </si>
  <si>
    <t>10/27/1990 - 4/16/1992</t>
  </si>
  <si>
    <t>1986 February 22</t>
  </si>
  <si>
    <t>7222 Sherman St.</t>
  </si>
  <si>
    <t>Kenneth Vazquez</t>
  </si>
  <si>
    <t>3/13/1996 - 1/27/1998</t>
  </si>
  <si>
    <t>1993 January 8</t>
  </si>
  <si>
    <t>Rancho Santa Fe, CA   92091</t>
  </si>
  <si>
    <t>7670 Cheney Ave.</t>
  </si>
  <si>
    <t>Mark Lara</t>
  </si>
  <si>
    <t>3/3/2007 - 8/18/2008</t>
  </si>
  <si>
    <t>2004 February 10</t>
  </si>
  <si>
    <t>Greenwich, CT   06830</t>
  </si>
  <si>
    <t>2333 McKinley Ave.</t>
  </si>
  <si>
    <t>Anne Gates</t>
  </si>
  <si>
    <t>11/21/1994 - 9/14/1996</t>
  </si>
  <si>
    <t>1990 December 4</t>
  </si>
  <si>
    <t>Paradise Valley, AZ   85253</t>
  </si>
  <si>
    <t>225 Colfax Ave.</t>
  </si>
  <si>
    <t>Deon Hale</t>
  </si>
  <si>
    <t>9/3/2001 - 4/18/2003</t>
  </si>
  <si>
    <t>1998 December 23</t>
  </si>
  <si>
    <t>Incline Village, NV   89451</t>
  </si>
  <si>
    <t>1602 Harrison St.</t>
  </si>
  <si>
    <t>Nobuko Shaffer</t>
  </si>
  <si>
    <t>3/19/1995 - 12/27/1996</t>
  </si>
  <si>
    <t>1992 August 4</t>
  </si>
  <si>
    <t>New Canaan, CT   06840</t>
  </si>
  <si>
    <t>662 Curtis Ct.</t>
  </si>
  <si>
    <t>Tim Woodward</t>
  </si>
  <si>
    <t>3/13/2001 - 8/21/2002</t>
  </si>
  <si>
    <t>1997 August 28</t>
  </si>
  <si>
    <t>Cold Spring Harbor, NY   11724</t>
  </si>
  <si>
    <t>1317 Cleveland Blvd.</t>
  </si>
  <si>
    <t>Svetlana Hardy</t>
  </si>
  <si>
    <t>6/11/2009 - 4/24/2011</t>
  </si>
  <si>
    <t>2005 January 13</t>
  </si>
  <si>
    <t>Tulsa, OK   74103</t>
  </si>
  <si>
    <t>1144 Gerry Blvd.</t>
  </si>
  <si>
    <t>Robert Shields</t>
  </si>
  <si>
    <t>10/27/1998 - 3/12/2000</t>
  </si>
  <si>
    <t>1995 November 14</t>
  </si>
  <si>
    <t>Santa Barbara, CA   93108</t>
  </si>
  <si>
    <t>4318 Madison Ave.</t>
  </si>
  <si>
    <t>Benning Nunez</t>
  </si>
  <si>
    <t>2/12/1996 - 9/6/1997</t>
  </si>
  <si>
    <t>1993 October 20</t>
  </si>
  <si>
    <t>Wilmington, DE   19807</t>
  </si>
  <si>
    <t>5882 Dawes Blvd.</t>
  </si>
  <si>
    <t>Benjamin Young</t>
  </si>
  <si>
    <t>11/21/2004 - 8/10/2006</t>
  </si>
  <si>
    <t>2000 January 8</t>
  </si>
  <si>
    <t>Ladue, MO   63124</t>
  </si>
  <si>
    <t>33 Watson Lane</t>
  </si>
  <si>
    <t>Nathan Robertson</t>
  </si>
  <si>
    <t>6/20/1989 - 5/11/1991</t>
  </si>
  <si>
    <t>1985 January 12</t>
  </si>
  <si>
    <t>Atherton, CA   94027</t>
  </si>
  <si>
    <t>93 Roosevelt Blvd.</t>
  </si>
  <si>
    <t>Justin Bass</t>
  </si>
  <si>
    <t>8/1/2012 - 2/5/2014</t>
  </si>
  <si>
    <t>2008 January 5</t>
  </si>
  <si>
    <t>Bernardsville, NJ   07924</t>
  </si>
  <si>
    <t>1808 Wheeler Ct.</t>
  </si>
  <si>
    <t>David Adams</t>
  </si>
  <si>
    <t>6/14/2011 - 11/5/2012</t>
  </si>
  <si>
    <t>2008 April 19</t>
  </si>
  <si>
    <t>Wilson, WY   83014</t>
  </si>
  <si>
    <t>1730 Barkley St.</t>
  </si>
  <si>
    <t>Dac Calhoun</t>
  </si>
  <si>
    <t>12/29/2004 - 9/9/2006</t>
  </si>
  <si>
    <t>2001 March 3</t>
  </si>
  <si>
    <t>Portola Valley, CA   94028</t>
  </si>
  <si>
    <t>6136 Harrison Ct.</t>
  </si>
  <si>
    <t>Jan Ramos</t>
  </si>
  <si>
    <t>12/24/1991 - 10/2/1993</t>
  </si>
  <si>
    <t>1988 December 2</t>
  </si>
  <si>
    <t>Fort Worth, TX   76102</t>
  </si>
  <si>
    <t>4247 Hoover Ct.</t>
  </si>
  <si>
    <t>Jon Gregory</t>
  </si>
  <si>
    <t>6/25/1997 - 3/8/1999</t>
  </si>
  <si>
    <t>1994 October 11</t>
  </si>
  <si>
    <t>Westport, CT   06880</t>
  </si>
  <si>
    <t>887 Harrison St.</t>
  </si>
  <si>
    <t>Brenda Barnett</t>
  </si>
  <si>
    <t>2/21/2009 - 9/27/2010</t>
  </si>
  <si>
    <t>2006 July 27</t>
  </si>
  <si>
    <t>Sherborn, MA   01770</t>
  </si>
  <si>
    <t>4915 Adams Ct.</t>
  </si>
  <si>
    <t>Robert Daniel</t>
  </si>
  <si>
    <t>9/12/2007 - 4/26/2009</t>
  </si>
  <si>
    <t>2003 January 28</t>
  </si>
  <si>
    <t>Franklin Lakes, NJ   07417</t>
  </si>
  <si>
    <t>5800 Humphrey Blvd.</t>
  </si>
  <si>
    <t>Shira Nelson</t>
  </si>
  <si>
    <t>11/30/2012 - 7/7/2014</t>
  </si>
  <si>
    <t>2010 February 8</t>
  </si>
  <si>
    <t>Rumson, NJ   07760</t>
  </si>
  <si>
    <t>2247 Grant Ave.</t>
  </si>
  <si>
    <t>Robin Hutchinson</t>
  </si>
  <si>
    <t>11/14/1994 - 4/6/1996</t>
  </si>
  <si>
    <t>1990 July 11</t>
  </si>
  <si>
    <t>Belair Beach, FL   33786</t>
  </si>
  <si>
    <t>8028 Wallace Ave.</t>
  </si>
  <si>
    <t>Leonard Figueroa</t>
  </si>
  <si>
    <t>1/10/2001 - 11/11/2002</t>
  </si>
  <si>
    <t>1997 August 8</t>
  </si>
  <si>
    <t>Hinsdale, IL   60521</t>
  </si>
  <si>
    <t>550 Polk Ave.</t>
  </si>
  <si>
    <t>Randy Nixon</t>
  </si>
  <si>
    <t>4/26/1991 - 11/18/1992</t>
  </si>
  <si>
    <t>1988 November 15</t>
  </si>
  <si>
    <t>Weston, CT   06883</t>
  </si>
  <si>
    <t>6436 Taft St.</t>
  </si>
  <si>
    <t>Scott McDowell</t>
  </si>
  <si>
    <t>8/10/2001 - 4/20/2003</t>
  </si>
  <si>
    <t>1997 January 27</t>
  </si>
  <si>
    <t>San Francisco, CA   94111</t>
  </si>
  <si>
    <t>7217 Lincoln Lane</t>
  </si>
  <si>
    <t>Michael Molina</t>
  </si>
  <si>
    <t>7/7/1997 - 2/24/1999</t>
  </si>
  <si>
    <t>1993 March 13</t>
  </si>
  <si>
    <t>The Plains, VA   20198</t>
  </si>
  <si>
    <t>8001 Gore St.</t>
  </si>
  <si>
    <t>Timothy Park</t>
  </si>
  <si>
    <t>11/6/2011 - 6/7/2013</t>
  </si>
  <si>
    <t>2011 October 24</t>
  </si>
  <si>
    <t>Saddle River, NJ   07458</t>
  </si>
  <si>
    <t>3842 Harrison St.</t>
  </si>
  <si>
    <t>John Lloyd</t>
  </si>
  <si>
    <t>3/30/2007 - 8/22/2008</t>
  </si>
  <si>
    <t>2003 March 25</t>
  </si>
  <si>
    <t>Glencoe, IL   60022</t>
  </si>
  <si>
    <t>7759 Johnson Ave.</t>
  </si>
  <si>
    <t>Stephen Silva</t>
  </si>
  <si>
    <t>Board Member Dates</t>
  </si>
  <si>
    <t>Member Since:</t>
  </si>
  <si>
    <t>City, State ZIP</t>
  </si>
  <si>
    <t>Address</t>
  </si>
  <si>
    <t>Contact</t>
  </si>
  <si>
    <t>OS BOND CONSTRUCTION (642)</t>
  </si>
  <si>
    <t>Open Space</t>
  </si>
  <si>
    <t>OS S/U TAX REV BOND ACCT (641)</t>
  </si>
  <si>
    <t>OS SALES TAX FUND (640)</t>
  </si>
  <si>
    <t>Total OS Bond Construction Fund</t>
  </si>
  <si>
    <t>Transfer from Other Funds (370-**)</t>
  </si>
  <si>
    <t>Interest Earnings (361-*)</t>
  </si>
  <si>
    <t>Difference</t>
  </si>
  <si>
    <t>Budget</t>
  </si>
  <si>
    <t>Total</t>
  </si>
  <si>
    <t>Year</t>
  </si>
  <si>
    <t>OS BOND CONSTRUCTION (342)</t>
  </si>
  <si>
    <t>Total OS S/U Tax Rev Bond Acct</t>
  </si>
  <si>
    <t>Intergovernment Revenue (330-**)</t>
  </si>
  <si>
    <t>OS S/U TAX REV BOND ACCT (341)</t>
  </si>
  <si>
    <t>Total OS Sales Tax Fund</t>
  </si>
  <si>
    <t>Sale of Land (390-**)</t>
  </si>
  <si>
    <t>Rents/Royalties (362*)</t>
  </si>
  <si>
    <t>Unrealized Gain/Loss (361-70)</t>
  </si>
  <si>
    <t>Interest Income - 2010A Bonds (361-31)</t>
  </si>
  <si>
    <t>Interest Income -Operating (361-20)</t>
  </si>
  <si>
    <t>Misc Revenue (360-10)</t>
  </si>
  <si>
    <t>Taxpayer Assd Sales Tax Accrual (313-99)</t>
  </si>
  <si>
    <t>Taxpayer Assd Use Tax Accrual (313-98)</t>
  </si>
  <si>
    <t>Use Tax (313-11)</t>
  </si>
  <si>
    <t>Sales Tax (313-10)</t>
  </si>
  <si>
    <t>Fund Type</t>
  </si>
  <si>
    <t>Fund</t>
  </si>
  <si>
    <t>Amount</t>
  </si>
  <si>
    <t>Sheet</t>
  </si>
  <si>
    <t>Seq</t>
  </si>
  <si>
    <t>Data layout example #1</t>
  </si>
  <si>
    <t>Data layout example #2 Reporting Subtotals</t>
  </si>
  <si>
    <t>Multirow Headers</t>
  </si>
  <si>
    <t>Data layout example #3 Reporting</t>
  </si>
  <si>
    <t>Contact List</t>
  </si>
  <si>
    <t>Real World Example</t>
  </si>
  <si>
    <t>List</t>
  </si>
  <si>
    <t>Transform List to table</t>
  </si>
  <si>
    <t>11S</t>
  </si>
  <si>
    <t>ElectroCity</t>
  </si>
  <si>
    <t>SW</t>
  </si>
  <si>
    <t>Televisions</t>
  </si>
  <si>
    <t>Pardo, Don</t>
  </si>
  <si>
    <t>SE</t>
  </si>
  <si>
    <t>Clark, Dick</t>
  </si>
  <si>
    <t>NW</t>
  </si>
  <si>
    <t>Mann, Ed</t>
  </si>
  <si>
    <t>Reimers, Ed</t>
  </si>
  <si>
    <t>Roman, Barb</t>
  </si>
  <si>
    <t>NE</t>
  </si>
  <si>
    <t>Morgan, Gil</t>
  </si>
  <si>
    <t>Furn, Betty</t>
  </si>
  <si>
    <t>Popiel, Ron</t>
  </si>
  <si>
    <t>Loman, Willy</t>
  </si>
  <si>
    <t>Kitchen Center</t>
  </si>
  <si>
    <t>Folger, Art</t>
  </si>
  <si>
    <t>Home USA</t>
  </si>
  <si>
    <t>Home Emporium</t>
  </si>
  <si>
    <t>Stout, Mary</t>
  </si>
  <si>
    <t>Appliance Mart</t>
  </si>
  <si>
    <t>Short, Dina</t>
  </si>
  <si>
    <t>Refrigerators</t>
  </si>
  <si>
    <t>Dryers</t>
  </si>
  <si>
    <t>Dishwashers</t>
  </si>
  <si>
    <t>Clothes Washers</t>
  </si>
  <si>
    <t>Items</t>
  </si>
  <si>
    <t>Customer</t>
  </si>
  <si>
    <t>Region</t>
  </si>
  <si>
    <t>Product</t>
  </si>
  <si>
    <t>Salesperson</t>
  </si>
  <si>
    <t>Large Product Sales - 2010 and 2011</t>
  </si>
  <si>
    <t>Appliance Sales</t>
  </si>
  <si>
    <t>Accounting</t>
  </si>
  <si>
    <t>Validation</t>
  </si>
  <si>
    <t>Schroeder, Ben</t>
  </si>
  <si>
    <t>Moss, Ed</t>
  </si>
  <si>
    <t>Levene, Shelley</t>
  </si>
  <si>
    <t>Hutton, Lauren</t>
  </si>
  <si>
    <t>Tilley, Ernest</t>
  </si>
  <si>
    <t>Furness, Betty</t>
  </si>
  <si>
    <t>Babowsky, Bill</t>
  </si>
  <si>
    <t>Sales</t>
  </si>
  <si>
    <t>Marketing</t>
  </si>
  <si>
    <t>Lopez Maria</t>
  </si>
  <si>
    <t>Lewis, Fred</t>
  </si>
  <si>
    <t>Pena, Erica</t>
  </si>
  <si>
    <t>Ramsey, Carol</t>
  </si>
  <si>
    <t>Trevino, Ed</t>
  </si>
  <si>
    <t>Transpose Data</t>
  </si>
  <si>
    <t>http://office.microsoft.com/assistance/asstvid.aspx?assetid=XT101493291033&amp;vwidth=1044&amp;vheight=788&amp;type=flash&amp;CTT=11&amp;Origin=HA101491511033</t>
  </si>
  <si>
    <t>Excel 2003-2007 converter</t>
  </si>
  <si>
    <t>% Expenses Change</t>
  </si>
  <si>
    <t>% Profits Change</t>
  </si>
  <si>
    <t>% Sales Change</t>
  </si>
  <si>
    <t>YTD Average</t>
  </si>
  <si>
    <t>YTD Profits</t>
  </si>
  <si>
    <t>Profits</t>
  </si>
  <si>
    <t>Expenses</t>
  </si>
  <si>
    <t>Average</t>
  </si>
  <si>
    <t>Washington State Data</t>
  </si>
  <si>
    <t>Move Columns(s)</t>
  </si>
  <si>
    <t>Move Row(s)</t>
  </si>
  <si>
    <t>2013 8</t>
  </si>
  <si>
    <t>8 2013</t>
  </si>
  <si>
    <t>2013 3</t>
  </si>
  <si>
    <t>3 2013</t>
  </si>
  <si>
    <t>2013 10</t>
  </si>
  <si>
    <t>10 2013</t>
  </si>
  <si>
    <t>2013 4</t>
  </si>
  <si>
    <t>4 2013</t>
  </si>
  <si>
    <t>2014 10</t>
  </si>
  <si>
    <t>10 2014</t>
  </si>
  <si>
    <t>2013 12</t>
  </si>
  <si>
    <t>12 2013</t>
  </si>
  <si>
    <t>2013 2</t>
  </si>
  <si>
    <t>2 2013</t>
  </si>
  <si>
    <t>2013 11</t>
  </si>
  <si>
    <t>11 2013</t>
  </si>
  <si>
    <t>2013 7</t>
  </si>
  <si>
    <t>7 2013</t>
  </si>
  <si>
    <t>2013 6</t>
  </si>
  <si>
    <t>6 2013</t>
  </si>
  <si>
    <t>2014 12</t>
  </si>
  <si>
    <t>12 2014</t>
  </si>
  <si>
    <t>2014 6</t>
  </si>
  <si>
    <t>6 2014</t>
  </si>
  <si>
    <t>2013 5</t>
  </si>
  <si>
    <t>5 2013</t>
  </si>
  <si>
    <t>2014 9</t>
  </si>
  <si>
    <t>9 2014</t>
  </si>
  <si>
    <t>2014 4</t>
  </si>
  <si>
    <t>4 2014</t>
  </si>
  <si>
    <t>2014 7</t>
  </si>
  <si>
    <t>7 2014</t>
  </si>
  <si>
    <t>2014 5</t>
  </si>
  <si>
    <t>5 2014</t>
  </si>
  <si>
    <t>2014 3</t>
  </si>
  <si>
    <t>3 2014</t>
  </si>
  <si>
    <t>2013 9</t>
  </si>
  <si>
    <t>9 2013</t>
  </si>
  <si>
    <t>2014 1</t>
  </si>
  <si>
    <t>1 2014</t>
  </si>
  <si>
    <t>2014 8</t>
  </si>
  <si>
    <t>8 2014</t>
  </si>
  <si>
    <t>2013 1</t>
  </si>
  <si>
    <t>1 2013</t>
  </si>
  <si>
    <t>2014 11</t>
  </si>
  <si>
    <t>11 2014</t>
  </si>
  <si>
    <t>2014 2</t>
  </si>
  <si>
    <t>2 2014</t>
  </si>
  <si>
    <t>2013 Jan 12</t>
  </si>
  <si>
    <t>2014 Feb 14</t>
  </si>
  <si>
    <t>2013 Jan 1</t>
  </si>
  <si>
    <t>2014 AUG 12</t>
  </si>
  <si>
    <t>2013 Jun 1</t>
  </si>
  <si>
    <t>2014 Jan 1</t>
  </si>
  <si>
    <t>2013 MAR 13</t>
  </si>
  <si>
    <t>2013 Sep 21</t>
  </si>
  <si>
    <t>Year Month Day</t>
  </si>
  <si>
    <t>Year Month</t>
  </si>
  <si>
    <t xml:space="preserve">Month Year </t>
  </si>
  <si>
    <t>Grouped Rows</t>
  </si>
  <si>
    <t>Date Formats</t>
  </si>
  <si>
    <t>Empty Rows</t>
  </si>
  <si>
    <t>947</t>
  </si>
  <si>
    <t>385</t>
  </si>
  <si>
    <t>936</t>
  </si>
  <si>
    <t>384</t>
  </si>
  <si>
    <t>879</t>
  </si>
  <si>
    <t>383</t>
  </si>
  <si>
    <t>844</t>
  </si>
  <si>
    <t>382</t>
  </si>
  <si>
    <t>712</t>
  </si>
  <si>
    <t>381</t>
  </si>
  <si>
    <t>658</t>
  </si>
  <si>
    <t>380</t>
  </si>
  <si>
    <t>625</t>
  </si>
  <si>
    <t>379</t>
  </si>
  <si>
    <t>613</t>
  </si>
  <si>
    <t>378</t>
  </si>
  <si>
    <t>600</t>
  </si>
  <si>
    <t>377</t>
  </si>
  <si>
    <t>531</t>
  </si>
  <si>
    <t>376</t>
  </si>
  <si>
    <t>438</t>
  </si>
  <si>
    <t>375</t>
  </si>
  <si>
    <t>420</t>
  </si>
  <si>
    <t>374</t>
  </si>
  <si>
    <t>396</t>
  </si>
  <si>
    <t>373</t>
  </si>
  <si>
    <t>366</t>
  </si>
  <si>
    <t>372</t>
  </si>
  <si>
    <t>339</t>
  </si>
  <si>
    <t>371</t>
  </si>
  <si>
    <t>294</t>
  </si>
  <si>
    <t>370</t>
  </si>
  <si>
    <t>262</t>
  </si>
  <si>
    <t>369</t>
  </si>
  <si>
    <t>199</t>
  </si>
  <si>
    <t>368</t>
  </si>
  <si>
    <t>145</t>
  </si>
  <si>
    <t>367</t>
  </si>
  <si>
    <t>126</t>
  </si>
  <si>
    <t>Numbers formatted as Text</t>
  </si>
  <si>
    <t>*24</t>
  </si>
  <si>
    <t>Pay</t>
  </si>
  <si>
    <t>PayRate/Hour</t>
  </si>
  <si>
    <t>Hours Worked</t>
  </si>
  <si>
    <t>*8/24</t>
  </si>
  <si>
    <t>Days Worked</t>
  </si>
  <si>
    <t>Text to Numbers</t>
  </si>
  <si>
    <t>Date to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</si>
</sst>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\-00\-0000"/>
    <numFmt numFmtId="165" formatCode="[&lt;=9999999]###\-####;\(###\)\ ###\-####"/>
    <numFmt numFmtId="166" formatCode="_(* #,##0_);_(* \(#,##0\);_(* &quot;-&quot;??_);_(@_)"/>
    <numFmt numFmtId="167" formatCode="0.00%;\(0.00%\)"/>
    <numFmt numFmtId="168" formatCode="0_);\(0\)"/>
    <numFmt numFmtId="169" formatCode="_(* #,##0.0_);_(* \(#,##0.0\);_(* &quot;-&quot;??_);_(@_)"/>
    <numFmt numFmtId="170" formatCode="m/d/yy;@"/>
    <numFmt numFmtId="171" formatCode="yyyy"/>
    <numFmt numFmtId="172" formatCode="m/d/yyyy;@"/>
    <numFmt numFmtId="173" formatCode="0.0%;[Red]\-0.0%"/>
    <numFmt numFmtId="174" formatCode="0.0%"/>
    <numFmt numFmtId="175" formatCode="[h]:mm"/>
    <numFmt numFmtId="176" formatCode="h:mm;@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1"/>
      <color indexed="10"/>
      <name val="Calibri"/>
      <family val="2"/>
    </font>
    <font>
      <b/>
      <sz val="10"/>
      <name val="Century Gothic"/>
      <family val="2"/>
    </font>
    <font>
      <sz val="10"/>
      <name val="Century Gothic"/>
      <family val="2"/>
    </font>
    <font>
      <sz val="12"/>
      <name val="Helv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indexed="10"/>
      <name val="Calibri"/>
      <family val="2"/>
      <scheme val="minor"/>
    </font>
    <font>
      <b/>
      <sz val="20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4"/>
      <name val="Calibri"/>
      <family val="2"/>
    </font>
    <font>
      <b/>
      <sz val="14"/>
      <name val="Arial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44" fontId="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37" fontId="14" fillId="0" borderId="0"/>
    <xf numFmtId="0" fontId="20" fillId="0" borderId="0"/>
    <xf numFmtId="44" fontId="8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</cellStyleXfs>
  <cellXfs count="25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left" indent="1"/>
    </xf>
    <xf numFmtId="0" fontId="4" fillId="0" borderId="0" xfId="0" applyFont="1" applyAlignment="1">
      <alignment horizontal="left" indent="1"/>
    </xf>
    <xf numFmtId="0" fontId="4" fillId="0" borderId="1" xfId="0" applyFont="1" applyBorder="1"/>
    <xf numFmtId="15" fontId="4" fillId="0" borderId="1" xfId="0" applyNumberFormat="1" applyFont="1" applyBorder="1"/>
    <xf numFmtId="15" fontId="4" fillId="0" borderId="1" xfId="0" applyNumberFormat="1" applyFont="1" applyBorder="1" applyAlignment="1">
      <alignment horizontal="left" indent="1"/>
    </xf>
    <xf numFmtId="0" fontId="4" fillId="0" borderId="1" xfId="0" applyFont="1" applyFill="1" applyBorder="1" applyAlignment="1">
      <alignment horizontal="left" indent="1"/>
    </xf>
    <xf numFmtId="44" fontId="4" fillId="0" borderId="1" xfId="1" applyFont="1" applyBorder="1" applyAlignment="1">
      <alignment horizontal="left" indent="1"/>
    </xf>
    <xf numFmtId="44" fontId="4" fillId="0" borderId="1" xfId="1" applyFont="1" applyBorder="1"/>
    <xf numFmtId="0" fontId="5" fillId="2" borderId="4" xfId="0" applyFont="1" applyFill="1" applyBorder="1" applyAlignment="1">
      <alignment horizontal="left" indent="1"/>
    </xf>
    <xf numFmtId="0" fontId="5" fillId="2" borderId="3" xfId="0" applyFont="1" applyFill="1" applyBorder="1" applyAlignment="1">
      <alignment horizontal="left" indent="1"/>
    </xf>
    <xf numFmtId="0" fontId="7" fillId="2" borderId="0" xfId="0" applyFont="1" applyFill="1" applyAlignment="1">
      <alignment horizontal="center" vertical="center"/>
    </xf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 applyAlignment="1">
      <alignment horizontal="left" indent="1"/>
    </xf>
    <xf numFmtId="0" fontId="4" fillId="4" borderId="1" xfId="0" applyFont="1" applyFill="1" applyBorder="1" applyAlignment="1">
      <alignment horizontal="left" indent="1"/>
    </xf>
    <xf numFmtId="0" fontId="7" fillId="2" borderId="0" xfId="0" applyFont="1" applyFill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9" fillId="6" borderId="5" xfId="2" applyFont="1" applyFill="1" applyBorder="1" applyAlignment="1" applyProtection="1">
      <alignment horizontal="left" vertical="top"/>
      <protection locked="0"/>
    </xf>
    <xf numFmtId="0" fontId="9" fillId="6" borderId="5" xfId="2" applyFont="1" applyFill="1" applyBorder="1" applyAlignment="1" applyProtection="1">
      <alignment horizontal="center" vertical="top"/>
      <protection locked="0"/>
    </xf>
    <xf numFmtId="0" fontId="9" fillId="6" borderId="5" xfId="2" applyFont="1" applyFill="1" applyBorder="1" applyAlignment="1" applyProtection="1">
      <alignment vertical="top"/>
      <protection locked="0"/>
    </xf>
    <xf numFmtId="164" fontId="9" fillId="6" borderId="5" xfId="2" applyNumberFormat="1" applyFont="1" applyFill="1" applyBorder="1" applyAlignment="1" applyProtection="1">
      <alignment horizontal="center" vertical="top"/>
      <protection locked="0"/>
    </xf>
    <xf numFmtId="165" fontId="9" fillId="6" borderId="5" xfId="2" applyNumberFormat="1" applyFont="1" applyFill="1" applyBorder="1" applyAlignment="1" applyProtection="1">
      <alignment horizontal="center" vertical="top"/>
      <protection locked="0"/>
    </xf>
    <xf numFmtId="15" fontId="9" fillId="6" borderId="5" xfId="2" applyNumberFormat="1" applyFont="1" applyFill="1" applyBorder="1" applyAlignment="1" applyProtection="1">
      <alignment horizontal="right" vertical="top"/>
      <protection locked="0"/>
    </xf>
    <xf numFmtId="15" fontId="9" fillId="6" borderId="5" xfId="2" applyNumberFormat="1" applyFont="1" applyFill="1" applyBorder="1" applyAlignment="1" applyProtection="1">
      <alignment horizontal="center" vertical="top"/>
      <protection locked="0"/>
    </xf>
    <xf numFmtId="0" fontId="9" fillId="6" borderId="5" xfId="2" applyFont="1" applyFill="1" applyBorder="1" applyAlignment="1" applyProtection="1">
      <alignment horizontal="right" vertical="top"/>
    </xf>
    <xf numFmtId="166" fontId="9" fillId="6" borderId="5" xfId="3" applyNumberFormat="1" applyFont="1" applyFill="1" applyBorder="1" applyAlignment="1" applyProtection="1">
      <alignment vertical="top"/>
      <protection locked="0"/>
    </xf>
    <xf numFmtId="43" fontId="9" fillId="6" borderId="5" xfId="3" applyFont="1" applyFill="1" applyBorder="1" applyAlignment="1" applyProtection="1">
      <alignment horizontal="right" vertical="top"/>
    </xf>
    <xf numFmtId="9" fontId="9" fillId="6" borderId="5" xfId="4" applyFont="1" applyFill="1" applyBorder="1" applyAlignment="1" applyProtection="1">
      <alignment vertical="top"/>
      <protection locked="0"/>
    </xf>
    <xf numFmtId="167" fontId="9" fillId="0" borderId="0" xfId="4" applyNumberFormat="1" applyFont="1" applyFill="1" applyBorder="1" applyAlignment="1" applyProtection="1">
      <alignment vertical="top" wrapText="1"/>
      <protection locked="0"/>
    </xf>
    <xf numFmtId="0" fontId="9" fillId="0" borderId="6" xfId="2" applyFont="1" applyBorder="1" applyAlignment="1" applyProtection="1">
      <alignment vertical="center"/>
      <protection locked="0"/>
    </xf>
    <xf numFmtId="0" fontId="10" fillId="0" borderId="0" xfId="2" applyFont="1" applyProtection="1">
      <protection locked="0"/>
    </xf>
    <xf numFmtId="0" fontId="11" fillId="0" borderId="0" xfId="2" applyFont="1" applyAlignment="1" applyProtection="1"/>
    <xf numFmtId="0" fontId="11" fillId="0" borderId="0" xfId="2" applyFont="1" applyAlignment="1" applyProtection="1">
      <alignment horizontal="right"/>
    </xf>
    <xf numFmtId="0" fontId="10" fillId="0" borderId="0" xfId="2" applyFont="1" applyProtection="1"/>
    <xf numFmtId="0" fontId="10" fillId="0" borderId="0" xfId="2" applyFont="1" applyAlignment="1" applyProtection="1"/>
    <xf numFmtId="0" fontId="10" fillId="0" borderId="0" xfId="2" applyFont="1" applyAlignment="1" applyProtection="1">
      <alignment horizontal="right"/>
    </xf>
    <xf numFmtId="0" fontId="10" fillId="0" borderId="0" xfId="2" applyFont="1" applyFill="1" applyProtection="1">
      <protection locked="0"/>
    </xf>
    <xf numFmtId="0" fontId="10" fillId="0" borderId="0" xfId="2" applyFont="1" applyFill="1" applyAlignment="1" applyProtection="1">
      <alignment horizontal="center"/>
      <protection locked="0"/>
    </xf>
    <xf numFmtId="164" fontId="10" fillId="0" borderId="0" xfId="2" applyNumberFormat="1" applyFont="1" applyFill="1" applyAlignment="1" applyProtection="1">
      <alignment horizontal="right"/>
      <protection locked="0"/>
    </xf>
    <xf numFmtId="165" fontId="10" fillId="0" borderId="0" xfId="2" applyNumberFormat="1" applyFont="1" applyFill="1" applyAlignment="1" applyProtection="1">
      <alignment horizontal="right"/>
      <protection locked="0"/>
    </xf>
    <xf numFmtId="14" fontId="10" fillId="0" borderId="0" xfId="3" applyNumberFormat="1" applyFont="1" applyFill="1" applyProtection="1">
      <protection locked="0"/>
    </xf>
    <xf numFmtId="15" fontId="10" fillId="0" borderId="0" xfId="2" applyNumberFormat="1" applyFont="1" applyFill="1" applyAlignment="1" applyProtection="1">
      <alignment horizontal="center"/>
      <protection locked="0"/>
    </xf>
    <xf numFmtId="166" fontId="10" fillId="0" borderId="0" xfId="3" applyNumberFormat="1" applyFont="1" applyFill="1" applyProtection="1"/>
    <xf numFmtId="166" fontId="10" fillId="0" borderId="0" xfId="3" applyNumberFormat="1" applyFont="1" applyProtection="1">
      <protection locked="0"/>
    </xf>
    <xf numFmtId="166" fontId="10" fillId="0" borderId="0" xfId="3" applyNumberFormat="1" applyFont="1" applyFill="1" applyAlignment="1" applyProtection="1">
      <protection locked="0"/>
    </xf>
    <xf numFmtId="0" fontId="10" fillId="0" borderId="0" xfId="2" applyFont="1" applyAlignment="1" applyProtection="1">
      <alignment horizontal="center"/>
      <protection locked="0"/>
    </xf>
    <xf numFmtId="166" fontId="10" fillId="0" borderId="0" xfId="3" applyNumberFormat="1" applyFont="1" applyFill="1" applyProtection="1">
      <protection locked="0"/>
    </xf>
    <xf numFmtId="9" fontId="10" fillId="0" borderId="0" xfId="4" applyFont="1" applyProtection="1">
      <protection locked="0"/>
    </xf>
    <xf numFmtId="168" fontId="10" fillId="7" borderId="5" xfId="3" applyNumberFormat="1" applyFont="1" applyFill="1" applyBorder="1" applyProtection="1">
      <protection locked="0"/>
    </xf>
    <xf numFmtId="0" fontId="10" fillId="7" borderId="5" xfId="2" applyFont="1" applyFill="1" applyBorder="1" applyProtection="1">
      <protection locked="0"/>
    </xf>
    <xf numFmtId="166" fontId="10" fillId="0" borderId="0" xfId="3" applyNumberFormat="1" applyFont="1" applyProtection="1"/>
    <xf numFmtId="166" fontId="10" fillId="0" borderId="0" xfId="3" applyNumberFormat="1" applyFont="1" applyAlignment="1" applyProtection="1"/>
    <xf numFmtId="166" fontId="10" fillId="7" borderId="5" xfId="3" applyNumberFormat="1" applyFont="1" applyFill="1" applyBorder="1" applyProtection="1">
      <protection locked="0"/>
    </xf>
    <xf numFmtId="9" fontId="10" fillId="7" borderId="5" xfId="2" applyNumberFormat="1" applyFont="1" applyFill="1" applyBorder="1" applyProtection="1">
      <protection locked="0"/>
    </xf>
    <xf numFmtId="9" fontId="10" fillId="0" borderId="0" xfId="4" applyFont="1" applyBorder="1" applyProtection="1">
      <protection locked="0"/>
    </xf>
    <xf numFmtId="0" fontId="11" fillId="0" borderId="0" xfId="2" applyFont="1" applyAlignment="1" applyProtection="1">
      <protection locked="0"/>
    </xf>
    <xf numFmtId="0" fontId="11" fillId="0" borderId="0" xfId="2" applyFont="1" applyAlignment="1" applyProtection="1">
      <alignment horizontal="right"/>
      <protection locked="0"/>
    </xf>
    <xf numFmtId="0" fontId="10" fillId="0" borderId="0" xfId="2" applyFont="1" applyAlignment="1" applyProtection="1">
      <protection locked="0"/>
    </xf>
    <xf numFmtId="0" fontId="10" fillId="0" borderId="0" xfId="2" applyFont="1" applyAlignment="1" applyProtection="1">
      <alignment horizontal="right"/>
      <protection locked="0"/>
    </xf>
    <xf numFmtId="169" fontId="10" fillId="0" borderId="0" xfId="3" applyNumberFormat="1" applyFont="1" applyProtection="1">
      <protection locked="0"/>
    </xf>
    <xf numFmtId="43" fontId="10" fillId="0" borderId="0" xfId="3" applyFont="1" applyProtection="1">
      <protection locked="0"/>
    </xf>
    <xf numFmtId="166" fontId="10" fillId="0" borderId="0" xfId="3" applyNumberFormat="1" applyFont="1" applyAlignment="1" applyProtection="1">
      <protection locked="0"/>
    </xf>
    <xf numFmtId="0" fontId="10" fillId="0" borderId="0" xfId="2" applyFont="1" applyBorder="1" applyProtection="1">
      <protection locked="0"/>
    </xf>
    <xf numFmtId="164" fontId="10" fillId="0" borderId="0" xfId="2" applyNumberFormat="1" applyFont="1" applyAlignment="1" applyProtection="1">
      <alignment horizontal="right"/>
      <protection locked="0"/>
    </xf>
    <xf numFmtId="165" fontId="10" fillId="0" borderId="0" xfId="2" applyNumberFormat="1" applyFont="1" applyAlignment="1" applyProtection="1">
      <alignment horizontal="right"/>
      <protection locked="0"/>
    </xf>
    <xf numFmtId="166" fontId="10" fillId="0" borderId="0" xfId="2" applyNumberFormat="1" applyFont="1" applyProtection="1">
      <protection locked="0"/>
    </xf>
    <xf numFmtId="0" fontId="10" fillId="0" borderId="0" xfId="2" applyNumberFormat="1" applyFont="1" applyProtection="1">
      <protection locked="0"/>
    </xf>
    <xf numFmtId="166" fontId="10" fillId="0" borderId="0" xfId="3" applyNumberFormat="1" applyFont="1" applyFill="1" applyBorder="1" applyProtection="1"/>
    <xf numFmtId="166" fontId="10" fillId="0" borderId="0" xfId="3" applyNumberFormat="1" applyFont="1" applyBorder="1" applyProtection="1">
      <protection locked="0"/>
    </xf>
    <xf numFmtId="165" fontId="10" fillId="0" borderId="0" xfId="2" quotePrefix="1" applyNumberFormat="1" applyFont="1" applyAlignment="1" applyProtection="1">
      <alignment horizontal="right"/>
      <protection locked="0"/>
    </xf>
    <xf numFmtId="164" fontId="10" fillId="0" borderId="0" xfId="2" applyNumberFormat="1" applyFont="1" applyProtection="1">
      <protection locked="0"/>
    </xf>
    <xf numFmtId="165" fontId="10" fillId="0" borderId="0" xfId="2" applyNumberFormat="1" applyFont="1" applyProtection="1">
      <protection locked="0"/>
    </xf>
    <xf numFmtId="15" fontId="10" fillId="0" borderId="0" xfId="2" applyNumberFormat="1" applyFont="1" applyProtection="1">
      <protection locked="0"/>
    </xf>
    <xf numFmtId="15" fontId="10" fillId="0" borderId="0" xfId="2" applyNumberFormat="1" applyFont="1" applyAlignment="1" applyProtection="1">
      <alignment horizontal="center"/>
      <protection locked="0"/>
    </xf>
    <xf numFmtId="0" fontId="10" fillId="0" borderId="0" xfId="2" applyFont="1" applyFill="1" applyProtection="1"/>
    <xf numFmtId="43" fontId="10" fillId="0" borderId="0" xfId="3" applyFont="1" applyProtection="1"/>
    <xf numFmtId="0" fontId="12" fillId="6" borderId="5" xfId="2" applyFont="1" applyFill="1" applyBorder="1" applyAlignment="1" applyProtection="1">
      <alignment horizontal="left" vertical="top"/>
    </xf>
    <xf numFmtId="0" fontId="12" fillId="6" borderId="5" xfId="2" applyFont="1" applyFill="1" applyBorder="1" applyAlignment="1" applyProtection="1">
      <alignment horizontal="center" vertical="top"/>
    </xf>
    <xf numFmtId="0" fontId="12" fillId="6" borderId="5" xfId="2" applyFont="1" applyFill="1" applyBorder="1" applyAlignment="1" applyProtection="1">
      <alignment vertical="top"/>
    </xf>
    <xf numFmtId="0" fontId="12" fillId="6" borderId="5" xfId="2" applyFont="1" applyFill="1" applyBorder="1" applyAlignment="1" applyProtection="1">
      <alignment horizontal="right" vertical="top"/>
    </xf>
    <xf numFmtId="166" fontId="12" fillId="6" borderId="5" xfId="3" applyNumberFormat="1" applyFont="1" applyFill="1" applyBorder="1" applyAlignment="1" applyProtection="1">
      <alignment horizontal="right" vertical="top"/>
    </xf>
    <xf numFmtId="0" fontId="8" fillId="0" borderId="0" xfId="2"/>
    <xf numFmtId="0" fontId="13" fillId="0" borderId="0" xfId="2" applyFont="1" applyProtection="1"/>
    <xf numFmtId="0" fontId="13" fillId="0" borderId="0" xfId="2" applyFont="1" applyFill="1" applyAlignment="1" applyProtection="1">
      <alignment horizontal="center"/>
      <protection locked="0"/>
    </xf>
    <xf numFmtId="170" fontId="13" fillId="0" borderId="0" xfId="2" applyNumberFormat="1" applyFont="1" applyProtection="1"/>
    <xf numFmtId="166" fontId="13" fillId="0" borderId="0" xfId="3" applyNumberFormat="1" applyFont="1" applyFill="1" applyProtection="1"/>
    <xf numFmtId="166" fontId="13" fillId="0" borderId="0" xfId="3" applyNumberFormat="1" applyFont="1" applyProtection="1"/>
    <xf numFmtId="166" fontId="13" fillId="0" borderId="0" xfId="3" applyNumberFormat="1" applyFont="1" applyFill="1" applyAlignment="1" applyProtection="1">
      <alignment horizontal="left" indent="1"/>
    </xf>
    <xf numFmtId="0" fontId="13" fillId="0" borderId="0" xfId="2" applyFont="1" applyAlignment="1" applyProtection="1">
      <alignment horizontal="center"/>
    </xf>
    <xf numFmtId="0" fontId="12" fillId="0" borderId="0" xfId="2" applyFont="1" applyProtection="1"/>
    <xf numFmtId="170" fontId="13" fillId="0" borderId="0" xfId="3" applyNumberFormat="1" applyFont="1" applyProtection="1"/>
    <xf numFmtId="9" fontId="10" fillId="0" borderId="0" xfId="4" applyFont="1" applyAlignment="1" applyProtection="1">
      <alignment horizontal="center"/>
      <protection locked="0"/>
    </xf>
    <xf numFmtId="0" fontId="10" fillId="0" borderId="0" xfId="2" applyNumberFormat="1" applyFont="1" applyFill="1" applyProtection="1">
      <protection locked="0"/>
    </xf>
    <xf numFmtId="0" fontId="10" fillId="0" borderId="0" xfId="2" applyNumberFormat="1" applyFont="1" applyAlignment="1" applyProtection="1">
      <alignment horizontal="right"/>
      <protection locked="0"/>
    </xf>
    <xf numFmtId="15" fontId="10" fillId="0" borderId="0" xfId="3" applyNumberFormat="1" applyFont="1" applyProtection="1">
      <protection locked="0"/>
    </xf>
    <xf numFmtId="9" fontId="10" fillId="0" borderId="0" xfId="4" applyFont="1" applyFill="1" applyProtection="1">
      <protection locked="0"/>
    </xf>
    <xf numFmtId="15" fontId="10" fillId="0" borderId="0" xfId="2" applyNumberFormat="1" applyFont="1" applyFill="1" applyProtection="1">
      <protection locked="0"/>
    </xf>
    <xf numFmtId="0" fontId="10" fillId="0" borderId="0" xfId="2" applyNumberFormat="1" applyFont="1" applyFill="1" applyAlignment="1" applyProtection="1">
      <alignment horizontal="right"/>
      <protection locked="0"/>
    </xf>
    <xf numFmtId="9" fontId="10" fillId="0" borderId="0" xfId="4" applyFont="1" applyBorder="1" applyAlignment="1" applyProtection="1">
      <alignment horizontal="center"/>
      <protection locked="0"/>
    </xf>
    <xf numFmtId="15" fontId="10" fillId="0" borderId="0" xfId="2" applyNumberFormat="1" applyFont="1" applyBorder="1" applyProtection="1">
      <protection locked="0"/>
    </xf>
    <xf numFmtId="15" fontId="10" fillId="0" borderId="0" xfId="3" applyNumberFormat="1" applyFont="1" applyBorder="1" applyProtection="1">
      <protection locked="0"/>
    </xf>
    <xf numFmtId="0" fontId="10" fillId="0" borderId="0" xfId="2" quotePrefix="1" applyNumberFormat="1" applyFont="1" applyAlignment="1" applyProtection="1">
      <alignment horizontal="right"/>
      <protection locked="0"/>
    </xf>
    <xf numFmtId="0" fontId="9" fillId="0" borderId="0" xfId="2" applyFont="1" applyProtection="1">
      <protection locked="0"/>
    </xf>
    <xf numFmtId="0" fontId="9" fillId="0" borderId="0" xfId="2" applyFont="1" applyAlignment="1" applyProtection="1">
      <alignment horizontal="right"/>
    </xf>
    <xf numFmtId="0" fontId="9" fillId="0" borderId="0" xfId="2" applyFont="1" applyAlignment="1" applyProtection="1"/>
    <xf numFmtId="0" fontId="9" fillId="0" borderId="0" xfId="2" applyFont="1" applyProtection="1"/>
    <xf numFmtId="0" fontId="9" fillId="0" borderId="0" xfId="2" applyFont="1" applyFill="1" applyProtection="1">
      <protection locked="0"/>
    </xf>
    <xf numFmtId="0" fontId="9" fillId="8" borderId="5" xfId="2" applyFont="1" applyFill="1" applyBorder="1" applyAlignment="1" applyProtection="1">
      <alignment horizontal="right" vertical="top"/>
      <protection locked="0"/>
    </xf>
    <xf numFmtId="0" fontId="9" fillId="8" borderId="5" xfId="2" applyFont="1" applyFill="1" applyBorder="1" applyAlignment="1" applyProtection="1">
      <alignment horizontal="center" vertical="top"/>
      <protection locked="0"/>
    </xf>
    <xf numFmtId="0" fontId="9" fillId="8" borderId="5" xfId="2" applyFont="1" applyFill="1" applyBorder="1" applyAlignment="1" applyProtection="1">
      <alignment horizontal="left" vertical="top"/>
      <protection locked="0"/>
    </xf>
    <xf numFmtId="0" fontId="9" fillId="8" borderId="5" xfId="2" applyFont="1" applyFill="1" applyBorder="1" applyAlignment="1" applyProtection="1">
      <alignment horizontal="left" vertical="top" wrapText="1"/>
      <protection locked="0"/>
    </xf>
    <xf numFmtId="167" fontId="9" fillId="8" borderId="0" xfId="4" applyNumberFormat="1" applyFont="1" applyFill="1" applyBorder="1" applyAlignment="1" applyProtection="1">
      <alignment horizontal="left" vertical="top" wrapText="1"/>
      <protection locked="0"/>
    </xf>
    <xf numFmtId="0" fontId="9" fillId="0" borderId="0" xfId="2" applyFont="1" applyFill="1" applyAlignment="1" applyProtection="1">
      <alignment horizontal="left"/>
      <protection locked="0"/>
    </xf>
    <xf numFmtId="0" fontId="10" fillId="0" borderId="0" xfId="2" applyFont="1"/>
    <xf numFmtId="15" fontId="10" fillId="0" borderId="0" xfId="2" applyNumberFormat="1" applyFont="1"/>
    <xf numFmtId="0" fontId="9" fillId="0" borderId="0" xfId="2" applyFont="1"/>
    <xf numFmtId="14" fontId="9" fillId="0" borderId="0" xfId="2" applyNumberFormat="1" applyFont="1"/>
    <xf numFmtId="37" fontId="15" fillId="0" borderId="0" xfId="5" applyFont="1"/>
    <xf numFmtId="37" fontId="15" fillId="0" borderId="0" xfId="5" applyFont="1" applyFill="1"/>
    <xf numFmtId="15" fontId="15" fillId="0" borderId="0" xfId="5" applyNumberFormat="1" applyFont="1"/>
    <xf numFmtId="37" fontId="15" fillId="9" borderId="0" xfId="5" applyFont="1" applyFill="1"/>
    <xf numFmtId="171" fontId="15" fillId="0" borderId="0" xfId="5" applyNumberFormat="1" applyFont="1" applyAlignment="1">
      <alignment horizontal="left"/>
    </xf>
    <xf numFmtId="37" fontId="16" fillId="0" borderId="0" xfId="5" applyFont="1"/>
    <xf numFmtId="37" fontId="16" fillId="0" borderId="0" xfId="5" applyFont="1" applyFill="1" applyAlignment="1">
      <alignment horizontal="center" vertical="center"/>
    </xf>
    <xf numFmtId="37" fontId="16" fillId="10" borderId="0" xfId="5" applyFont="1" applyFill="1" applyAlignment="1">
      <alignment horizontal="center" vertical="center"/>
    </xf>
    <xf numFmtId="37" fontId="15" fillId="10" borderId="0" xfId="5" applyFont="1" applyFill="1"/>
    <xf numFmtId="37" fontId="16" fillId="10" borderId="0" xfId="5" applyFont="1" applyFill="1"/>
    <xf numFmtId="0" fontId="15" fillId="0" borderId="0" xfId="5" applyNumberFormat="1" applyFont="1" applyAlignment="1">
      <alignment horizontal="left"/>
    </xf>
    <xf numFmtId="0" fontId="16" fillId="0" borderId="0" xfId="5" applyNumberFormat="1" applyFont="1" applyAlignment="1">
      <alignment horizontal="left"/>
    </xf>
    <xf numFmtId="10" fontId="15" fillId="0" borderId="0" xfId="5" applyNumberFormat="1" applyFont="1"/>
    <xf numFmtId="0" fontId="16" fillId="10" borderId="0" xfId="5" applyNumberFormat="1" applyFont="1" applyFill="1" applyAlignment="1">
      <alignment horizontal="left"/>
    </xf>
    <xf numFmtId="37" fontId="15" fillId="0" borderId="0" xfId="5" applyFont="1" applyAlignment="1">
      <alignment horizontal="right"/>
    </xf>
    <xf numFmtId="37" fontId="15" fillId="0" borderId="0" xfId="5" applyFont="1" applyFill="1" applyAlignment="1">
      <alignment horizontal="right"/>
    </xf>
    <xf numFmtId="164" fontId="10" fillId="0" borderId="0" xfId="2" applyNumberFormat="1" applyFont="1" applyFill="1" applyProtection="1">
      <protection locked="0"/>
    </xf>
    <xf numFmtId="43" fontId="10" fillId="0" borderId="0" xfId="3" applyFont="1" applyFill="1" applyProtection="1">
      <protection locked="0"/>
    </xf>
    <xf numFmtId="164" fontId="9" fillId="6" borderId="5" xfId="2" applyNumberFormat="1" applyFont="1" applyFill="1" applyBorder="1" applyAlignment="1" applyProtection="1">
      <alignment vertical="top"/>
      <protection locked="0"/>
    </xf>
    <xf numFmtId="0" fontId="17" fillId="0" borderId="0" xfId="2" applyFont="1"/>
    <xf numFmtId="166" fontId="17" fillId="0" borderId="0" xfId="3" applyNumberFormat="1" applyFont="1"/>
    <xf numFmtId="15" fontId="17" fillId="0" borderId="0" xfId="2" applyNumberFormat="1" applyFont="1"/>
    <xf numFmtId="170" fontId="17" fillId="0" borderId="0" xfId="2" applyNumberFormat="1" applyFont="1"/>
    <xf numFmtId="172" fontId="17" fillId="0" borderId="0" xfId="3" applyNumberFormat="1" applyFont="1"/>
    <xf numFmtId="166" fontId="17" fillId="0" borderId="0" xfId="3" applyNumberFormat="1" applyFont="1" applyBorder="1"/>
    <xf numFmtId="0" fontId="17" fillId="0" borderId="0" xfId="2" applyFont="1" applyFill="1"/>
    <xf numFmtId="43" fontId="17" fillId="0" borderId="0" xfId="3" applyFont="1"/>
    <xf numFmtId="166" fontId="18" fillId="0" borderId="7" xfId="3" applyNumberFormat="1" applyFont="1" applyBorder="1" applyAlignment="1">
      <alignment horizontal="right"/>
    </xf>
    <xf numFmtId="0" fontId="18" fillId="0" borderId="7" xfId="2" applyFont="1" applyBorder="1" applyAlignment="1">
      <alignment horizontal="center"/>
    </xf>
    <xf numFmtId="0" fontId="18" fillId="0" borderId="7" xfId="2" applyFont="1" applyBorder="1" applyAlignment="1">
      <alignment horizontal="left"/>
    </xf>
    <xf numFmtId="0" fontId="17" fillId="0" borderId="8" xfId="2" applyFont="1" applyBorder="1" applyAlignment="1"/>
    <xf numFmtId="0" fontId="19" fillId="11" borderId="9" xfId="2" applyFont="1" applyFill="1" applyBorder="1" applyAlignment="1">
      <alignment vertical="center"/>
    </xf>
    <xf numFmtId="0" fontId="19" fillId="11" borderId="8" xfId="2" applyFont="1" applyFill="1" applyBorder="1" applyAlignment="1">
      <alignment vertical="center"/>
    </xf>
    <xf numFmtId="0" fontId="19" fillId="11" borderId="10" xfId="2" applyFont="1" applyFill="1" applyBorder="1" applyAlignment="1">
      <alignment vertical="center"/>
    </xf>
    <xf numFmtId="0" fontId="2" fillId="0" borderId="0" xfId="0" applyFont="1"/>
    <xf numFmtId="0" fontId="10" fillId="0" borderId="0" xfId="6" applyFont="1" applyProtection="1">
      <protection locked="0"/>
    </xf>
    <xf numFmtId="15" fontId="10" fillId="0" borderId="0" xfId="6" applyNumberFormat="1" applyFont="1" applyProtection="1">
      <protection locked="0"/>
    </xf>
    <xf numFmtId="0" fontId="10" fillId="0" borderId="0" xfId="6" applyFont="1" applyFill="1" applyProtection="1"/>
    <xf numFmtId="164" fontId="10" fillId="0" borderId="0" xfId="6" applyNumberFormat="1" applyFont="1" applyProtection="1">
      <protection locked="0"/>
    </xf>
    <xf numFmtId="165" fontId="10" fillId="0" borderId="0" xfId="6" applyNumberFormat="1" applyFont="1" applyProtection="1">
      <protection locked="0"/>
    </xf>
    <xf numFmtId="0" fontId="10" fillId="0" borderId="0" xfId="6" applyFont="1" applyAlignment="1" applyProtection="1">
      <alignment horizontal="center"/>
      <protection locked="0"/>
    </xf>
    <xf numFmtId="15" fontId="10" fillId="0" borderId="0" xfId="6" applyNumberFormat="1" applyFont="1" applyFill="1" applyProtection="1">
      <protection locked="0"/>
    </xf>
    <xf numFmtId="14" fontId="10" fillId="0" borderId="0" xfId="6" applyNumberFormat="1" applyFont="1" applyProtection="1">
      <protection locked="0"/>
    </xf>
    <xf numFmtId="164" fontId="10" fillId="0" borderId="0" xfId="6" applyNumberFormat="1" applyFont="1" applyAlignment="1" applyProtection="1">
      <alignment horizontal="right"/>
      <protection locked="0"/>
    </xf>
    <xf numFmtId="165" fontId="10" fillId="0" borderId="0" xfId="6" applyNumberFormat="1" applyFont="1" applyAlignment="1" applyProtection="1">
      <alignment horizontal="right"/>
      <protection locked="0"/>
    </xf>
    <xf numFmtId="0" fontId="10" fillId="0" borderId="0" xfId="6" applyFont="1" applyFill="1" applyAlignment="1" applyProtection="1">
      <alignment horizontal="center"/>
      <protection locked="0"/>
    </xf>
    <xf numFmtId="0" fontId="10" fillId="0" borderId="0" xfId="6" applyFont="1" applyFill="1" applyProtection="1">
      <protection locked="0"/>
    </xf>
    <xf numFmtId="165" fontId="10" fillId="0" borderId="0" xfId="6" quotePrefix="1" applyNumberFormat="1" applyFont="1" applyAlignment="1" applyProtection="1">
      <alignment horizontal="right"/>
      <protection locked="0"/>
    </xf>
    <xf numFmtId="164" fontId="10" fillId="0" borderId="0" xfId="6" applyNumberFormat="1" applyFont="1" applyFill="1" applyAlignment="1" applyProtection="1">
      <alignment horizontal="right"/>
      <protection locked="0"/>
    </xf>
    <xf numFmtId="165" fontId="10" fillId="0" borderId="0" xfId="6" applyNumberFormat="1" applyFont="1" applyFill="1" applyAlignment="1" applyProtection="1">
      <alignment horizontal="right"/>
      <protection locked="0"/>
    </xf>
    <xf numFmtId="0" fontId="9" fillId="6" borderId="5" xfId="6" applyFont="1" applyFill="1" applyBorder="1" applyAlignment="1" applyProtection="1">
      <alignment horizontal="center" vertical="top"/>
      <protection locked="0"/>
    </xf>
    <xf numFmtId="0" fontId="9" fillId="6" borderId="5" xfId="6" applyFont="1" applyFill="1" applyBorder="1" applyAlignment="1" applyProtection="1">
      <alignment vertical="top"/>
      <protection locked="0"/>
    </xf>
    <xf numFmtId="15" fontId="9" fillId="6" borderId="5" xfId="6" applyNumberFormat="1" applyFont="1" applyFill="1" applyBorder="1" applyAlignment="1" applyProtection="1">
      <alignment horizontal="left" vertical="top"/>
      <protection locked="0"/>
    </xf>
    <xf numFmtId="0" fontId="9" fillId="6" borderId="5" xfId="6" applyFont="1" applyFill="1" applyBorder="1" applyAlignment="1" applyProtection="1">
      <alignment horizontal="right" vertical="top"/>
    </xf>
    <xf numFmtId="15" fontId="9" fillId="6" borderId="5" xfId="6" applyNumberFormat="1" applyFont="1" applyFill="1" applyBorder="1" applyAlignment="1" applyProtection="1">
      <alignment horizontal="right" vertical="top"/>
      <protection locked="0"/>
    </xf>
    <xf numFmtId="164" fontId="9" fillId="6" borderId="5" xfId="6" applyNumberFormat="1" applyFont="1" applyFill="1" applyBorder="1" applyAlignment="1" applyProtection="1">
      <alignment horizontal="center" vertical="top"/>
      <protection locked="0"/>
    </xf>
    <xf numFmtId="165" fontId="9" fillId="6" borderId="5" xfId="6" applyNumberFormat="1" applyFont="1" applyFill="1" applyBorder="1" applyAlignment="1" applyProtection="1">
      <alignment horizontal="center" vertical="top"/>
      <protection locked="0"/>
    </xf>
    <xf numFmtId="0" fontId="9" fillId="6" borderId="5" xfId="6" applyFont="1" applyFill="1" applyBorder="1" applyAlignment="1" applyProtection="1">
      <alignment horizontal="left" vertical="top"/>
      <protection locked="0"/>
    </xf>
    <xf numFmtId="0" fontId="10" fillId="0" borderId="0" xfId="6" applyFont="1"/>
    <xf numFmtId="164" fontId="10" fillId="0" borderId="0" xfId="2" applyNumberFormat="1" applyFont="1" applyFill="1" applyAlignment="1" applyProtection="1">
      <alignment horizontal="left"/>
    </xf>
    <xf numFmtId="0" fontId="10" fillId="0" borderId="0" xfId="2" applyFont="1" applyFill="1" applyAlignment="1" applyProtection="1">
      <alignment horizontal="left"/>
    </xf>
    <xf numFmtId="164" fontId="10" fillId="0" borderId="0" xfId="2" applyNumberFormat="1" applyFont="1" applyAlignment="1" applyProtection="1">
      <alignment horizontal="left"/>
    </xf>
    <xf numFmtId="164" fontId="9" fillId="6" borderId="5" xfId="2" applyNumberFormat="1" applyFont="1" applyFill="1" applyBorder="1" applyAlignment="1" applyProtection="1">
      <alignment vertical="top"/>
    </xf>
    <xf numFmtId="0" fontId="10" fillId="0" borderId="0" xfId="2" applyFont="1" applyAlignment="1" applyProtection="1">
      <alignment horizontal="left"/>
    </xf>
    <xf numFmtId="0" fontId="9" fillId="6" borderId="5" xfId="2" applyFont="1" applyFill="1" applyBorder="1" applyAlignment="1" applyProtection="1">
      <alignment vertical="top"/>
    </xf>
    <xf numFmtId="0" fontId="10" fillId="0" borderId="0" xfId="2" applyFont="1" applyFill="1" applyAlignment="1" applyProtection="1">
      <alignment horizontal="left"/>
      <protection locked="0"/>
    </xf>
    <xf numFmtId="164" fontId="9" fillId="0" borderId="5" xfId="2" applyNumberFormat="1" applyFont="1" applyFill="1" applyBorder="1" applyAlignment="1" applyProtection="1">
      <alignment vertical="top"/>
    </xf>
    <xf numFmtId="0" fontId="9" fillId="0" borderId="5" xfId="2" applyFont="1" applyFill="1" applyBorder="1" applyAlignment="1" applyProtection="1">
      <alignment vertical="top"/>
    </xf>
    <xf numFmtId="0" fontId="21" fillId="0" borderId="0" xfId="2" applyFont="1" applyBorder="1" applyAlignment="1">
      <alignment horizontal="left"/>
    </xf>
    <xf numFmtId="0" fontId="22" fillId="0" borderId="0" xfId="2" applyFont="1"/>
    <xf numFmtId="0" fontId="22" fillId="0" borderId="0" xfId="2" applyFont="1" applyFill="1"/>
    <xf numFmtId="169" fontId="22" fillId="0" borderId="0" xfId="3" applyNumberFormat="1" applyFont="1" applyFill="1"/>
    <xf numFmtId="0" fontId="23" fillId="0" borderId="0" xfId="2" applyFont="1"/>
    <xf numFmtId="0" fontId="24" fillId="0" borderId="0" xfId="2" applyFont="1"/>
    <xf numFmtId="0" fontId="25" fillId="0" borderId="0" xfId="2" applyFont="1"/>
    <xf numFmtId="173" fontId="22" fillId="0" borderId="0" xfId="2" applyNumberFormat="1" applyFont="1" applyFill="1"/>
    <xf numFmtId="174" fontId="22" fillId="0" borderId="0" xfId="4" applyNumberFormat="1" applyFont="1" applyFill="1"/>
    <xf numFmtId="0" fontId="22" fillId="0" borderId="0" xfId="2" applyFont="1" applyFill="1" applyBorder="1"/>
    <xf numFmtId="40" fontId="22" fillId="0" borderId="0" xfId="2" applyNumberFormat="1" applyFont="1" applyFill="1" applyBorder="1"/>
    <xf numFmtId="0" fontId="23" fillId="0" borderId="0" xfId="2" applyFont="1" applyBorder="1"/>
    <xf numFmtId="43" fontId="22" fillId="0" borderId="0" xfId="3" applyFont="1" applyFill="1" applyBorder="1"/>
    <xf numFmtId="18" fontId="22" fillId="0" borderId="0" xfId="2" applyNumberFormat="1" applyFont="1" applyFill="1"/>
    <xf numFmtId="14" fontId="22" fillId="0" borderId="0" xfId="2" applyNumberFormat="1" applyFont="1" applyFill="1"/>
    <xf numFmtId="44" fontId="22" fillId="0" borderId="0" xfId="7" applyFont="1" applyFill="1" applyBorder="1"/>
    <xf numFmtId="43" fontId="22" fillId="0" borderId="0" xfId="3" applyFont="1" applyFill="1"/>
    <xf numFmtId="0" fontId="23" fillId="0" borderId="0" xfId="2" applyFont="1" applyFill="1" applyBorder="1" applyAlignment="1">
      <alignment horizontal="center"/>
    </xf>
    <xf numFmtId="0" fontId="22" fillId="0" borderId="0" xfId="2" applyFont="1" applyBorder="1"/>
    <xf numFmtId="0" fontId="22" fillId="0" borderId="0" xfId="2" applyFont="1" applyFill="1" applyBorder="1" applyAlignment="1">
      <alignment horizontal="right"/>
    </xf>
    <xf numFmtId="0" fontId="22" fillId="0" borderId="0" xfId="2" applyFont="1" applyFill="1" applyAlignment="1">
      <alignment horizontal="centerContinuous"/>
    </xf>
    <xf numFmtId="0" fontId="23" fillId="0" borderId="0" xfId="2" applyFont="1" applyAlignment="1">
      <alignment horizontal="left"/>
    </xf>
    <xf numFmtId="0" fontId="10" fillId="0" borderId="0" xfId="2" applyFont="1" applyAlignment="1">
      <alignment horizontal="center"/>
    </xf>
    <xf numFmtId="166" fontId="10" fillId="0" borderId="0" xfId="3" applyNumberFormat="1" applyFont="1"/>
    <xf numFmtId="170" fontId="10" fillId="0" borderId="0" xfId="2" applyNumberFormat="1" applyFont="1"/>
    <xf numFmtId="0" fontId="10" fillId="0" borderId="0" xfId="2" applyFont="1" applyAlignment="1">
      <alignment horizontal="left" indent="1"/>
    </xf>
    <xf numFmtId="0" fontId="9" fillId="0" borderId="0" xfId="2" applyFont="1" applyAlignment="1">
      <alignment horizontal="left"/>
    </xf>
    <xf numFmtId="0" fontId="9" fillId="0" borderId="0" xfId="2" applyFont="1" applyFill="1" applyAlignment="1">
      <alignment horizontal="center"/>
    </xf>
    <xf numFmtId="166" fontId="9" fillId="0" borderId="0" xfId="3" applyNumberFormat="1" applyFont="1" applyFill="1"/>
    <xf numFmtId="0" fontId="9" fillId="0" borderId="0" xfId="2" applyFont="1" applyFill="1"/>
    <xf numFmtId="170" fontId="9" fillId="0" borderId="0" xfId="2" applyNumberFormat="1" applyFont="1" applyFill="1"/>
    <xf numFmtId="0" fontId="9" fillId="0" borderId="0" xfId="2" applyFont="1" applyFill="1" applyAlignment="1">
      <alignment horizontal="left"/>
    </xf>
    <xf numFmtId="0" fontId="9" fillId="12" borderId="0" xfId="2" applyFont="1" applyFill="1" applyAlignment="1">
      <alignment horizontal="center"/>
    </xf>
    <xf numFmtId="166" fontId="9" fillId="12" borderId="0" xfId="3" applyNumberFormat="1" applyFont="1" applyFill="1"/>
    <xf numFmtId="0" fontId="9" fillId="12" borderId="0" xfId="2" applyFont="1" applyFill="1"/>
    <xf numFmtId="170" fontId="9" fillId="12" borderId="0" xfId="2" applyNumberFormat="1" applyFont="1" applyFill="1"/>
    <xf numFmtId="0" fontId="9" fillId="12" borderId="0" xfId="2" applyFont="1" applyFill="1" applyAlignment="1">
      <alignment horizontal="left"/>
    </xf>
    <xf numFmtId="0" fontId="26" fillId="0" borderId="0" xfId="8"/>
    <xf numFmtId="15" fontId="26" fillId="0" borderId="0" xfId="8" applyNumberFormat="1"/>
    <xf numFmtId="14" fontId="26" fillId="0" borderId="0" xfId="8" applyNumberFormat="1"/>
    <xf numFmtId="0" fontId="21" fillId="0" borderId="0" xfId="8" applyFont="1"/>
    <xf numFmtId="0" fontId="10" fillId="0" borderId="0" xfId="2" applyNumberFormat="1" applyFont="1"/>
    <xf numFmtId="49" fontId="10" fillId="0" borderId="0" xfId="2" applyNumberFormat="1" applyFont="1"/>
    <xf numFmtId="49" fontId="9" fillId="0" borderId="0" xfId="2" applyNumberFormat="1" applyFont="1"/>
    <xf numFmtId="0" fontId="9" fillId="0" borderId="0" xfId="2" applyNumberFormat="1" applyFont="1"/>
    <xf numFmtId="0" fontId="26" fillId="0" borderId="0" xfId="8" applyNumberFormat="1"/>
    <xf numFmtId="43" fontId="0" fillId="0" borderId="0" xfId="9" applyFont="1"/>
    <xf numFmtId="176" fontId="0" fillId="0" borderId="0" xfId="9" applyNumberFormat="1" applyFont="1"/>
    <xf numFmtId="175" fontId="0" fillId="0" borderId="0" xfId="9" applyNumberFormat="1" applyFont="1"/>
    <xf numFmtId="0" fontId="26" fillId="0" borderId="0" xfId="8" quotePrefix="1" applyNumberFormat="1"/>
    <xf numFmtId="0" fontId="21" fillId="0" borderId="0" xfId="8" applyFont="1" applyAlignment="1">
      <alignment horizontal="center"/>
    </xf>
    <xf numFmtId="0" fontId="21" fillId="0" borderId="0" xfId="8" applyNumberFormat="1" applyFont="1"/>
    <xf numFmtId="0" fontId="21" fillId="0" borderId="0" xfId="8" quotePrefix="1" applyNumberFormat="1" applyFont="1" applyAlignment="1">
      <alignment horizontal="center"/>
    </xf>
  </cellXfs>
  <cellStyles count="10">
    <cellStyle name="Comma 2" xfId="3"/>
    <cellStyle name="Comma 3" xfId="9"/>
    <cellStyle name="Currency" xfId="1" builtinId="4"/>
    <cellStyle name="Currency 2" xfId="7"/>
    <cellStyle name="Normal" xfId="0" builtinId="0"/>
    <cellStyle name="Normal 2" xfId="2"/>
    <cellStyle name="Normal 2 2" xfId="5"/>
    <cellStyle name="Normal 3" xfId="6"/>
    <cellStyle name="Normal 4" xfId="8"/>
    <cellStyle name="Percent 2" xfId="4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 - Qtr1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55</c:v>
              </c:pt>
              <c:pt idx="1">
                <c:v>96</c:v>
              </c:pt>
              <c:pt idx="2">
                <c:v>80</c:v>
              </c:pt>
              <c:pt idx="3">
                <c:v>99</c:v>
              </c:pt>
              <c:pt idx="4">
                <c:v>96</c:v>
              </c:pt>
            </c:numLit>
          </c:val>
        </c:ser>
        <c:ser>
          <c:idx val="1"/>
          <c:order val="1"/>
          <c:tx>
            <c:v>NE - Qtr2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48</c:v>
              </c:pt>
              <c:pt idx="1">
                <c:v>88</c:v>
              </c:pt>
              <c:pt idx="2">
                <c:v>88</c:v>
              </c:pt>
              <c:pt idx="3">
                <c:v>39</c:v>
              </c:pt>
              <c:pt idx="4">
                <c:v>98</c:v>
              </c:pt>
            </c:numLit>
          </c:val>
        </c:ser>
        <c:ser>
          <c:idx val="2"/>
          <c:order val="2"/>
          <c:tx>
            <c:v>NE - Qtr3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90</c:v>
              </c:pt>
              <c:pt idx="1">
                <c:v>67</c:v>
              </c:pt>
              <c:pt idx="2">
                <c:v>76</c:v>
              </c:pt>
              <c:pt idx="3">
                <c:v>116</c:v>
              </c:pt>
              <c:pt idx="4">
                <c:v>90</c:v>
              </c:pt>
            </c:numLit>
          </c:val>
        </c:ser>
        <c:ser>
          <c:idx val="3"/>
          <c:order val="3"/>
          <c:tx>
            <c:v>NE - Qtr4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51</c:v>
              </c:pt>
              <c:pt idx="1">
                <c:v>71</c:v>
              </c:pt>
              <c:pt idx="2">
                <c:v>92</c:v>
              </c:pt>
              <c:pt idx="3">
                <c:v>76</c:v>
              </c:pt>
              <c:pt idx="4">
                <c:v>97</c:v>
              </c:pt>
            </c:numLit>
          </c:val>
        </c:ser>
        <c:ser>
          <c:idx val="4"/>
          <c:order val="4"/>
          <c:tx>
            <c:v>NW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</c:ser>
        <c:ser>
          <c:idx val="5"/>
          <c:order val="5"/>
          <c:tx>
            <c:v>SE - Qtr1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59</c:v>
              </c:pt>
              <c:pt idx="1">
                <c:v>73</c:v>
              </c:pt>
              <c:pt idx="2">
                <c:v>109</c:v>
              </c:pt>
              <c:pt idx="3">
                <c:v>52</c:v>
              </c:pt>
              <c:pt idx="4">
                <c:v>82</c:v>
              </c:pt>
            </c:numLit>
          </c:val>
        </c:ser>
        <c:ser>
          <c:idx val="6"/>
          <c:order val="6"/>
          <c:tx>
            <c:v>SE - Qtr2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115</c:v>
              </c:pt>
              <c:pt idx="1">
                <c:v>79</c:v>
              </c:pt>
              <c:pt idx="2">
                <c:v>97</c:v>
              </c:pt>
              <c:pt idx="3">
                <c:v>77</c:v>
              </c:pt>
              <c:pt idx="4">
                <c:v>82</c:v>
              </c:pt>
            </c:numLit>
          </c:val>
        </c:ser>
        <c:ser>
          <c:idx val="7"/>
          <c:order val="7"/>
          <c:tx>
            <c:v>SE - Qtr3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75</c:v>
              </c:pt>
              <c:pt idx="1">
                <c:v>53</c:v>
              </c:pt>
              <c:pt idx="2">
                <c:v>31</c:v>
              </c:pt>
              <c:pt idx="3">
                <c:v>85</c:v>
              </c:pt>
              <c:pt idx="4">
                <c:v>112</c:v>
              </c:pt>
            </c:numLit>
          </c:val>
        </c:ser>
        <c:ser>
          <c:idx val="8"/>
          <c:order val="8"/>
          <c:tx>
            <c:v>SE - Qtr4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114</c:v>
              </c:pt>
              <c:pt idx="1">
                <c:v>83</c:v>
              </c:pt>
              <c:pt idx="2">
                <c:v>91</c:v>
              </c:pt>
              <c:pt idx="3">
                <c:v>78</c:v>
              </c:pt>
              <c:pt idx="4">
                <c:v>169</c:v>
              </c:pt>
            </c:numLit>
          </c:val>
        </c:ser>
        <c:ser>
          <c:idx val="9"/>
          <c:order val="9"/>
          <c:tx>
            <c:v>SW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0352848"/>
        <c:axId val="1130631408"/>
      </c:barChart>
      <c:catAx>
        <c:axId val="106035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31408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130631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03528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67" r="0.75000000000000167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244</c:v>
              </c:pt>
              <c:pt idx="1">
                <c:v>322</c:v>
              </c:pt>
              <c:pt idx="2">
                <c:v>336</c:v>
              </c:pt>
              <c:pt idx="3">
                <c:v>330</c:v>
              </c:pt>
              <c:pt idx="4">
                <c:v>381</c:v>
              </c:pt>
            </c:numLit>
          </c:val>
        </c:ser>
        <c:ser>
          <c:idx val="1"/>
          <c:order val="1"/>
          <c:tx>
            <c:v>NW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</c:ser>
        <c:ser>
          <c:idx val="2"/>
          <c:order val="2"/>
          <c:tx>
            <c:v>SE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363</c:v>
              </c:pt>
              <c:pt idx="1">
                <c:v>288</c:v>
              </c:pt>
              <c:pt idx="2">
                <c:v>328</c:v>
              </c:pt>
              <c:pt idx="3">
                <c:v>292</c:v>
              </c:pt>
              <c:pt idx="4">
                <c:v>445</c:v>
              </c:pt>
            </c:numLit>
          </c:val>
        </c:ser>
        <c:ser>
          <c:idx val="3"/>
          <c:order val="3"/>
          <c:tx>
            <c:v>SW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4274880"/>
        <c:axId val="1964275968"/>
      </c:barChart>
      <c:catAx>
        <c:axId val="1964274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4275968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964275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42748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67" r="0.75000000000000167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95250</xdr:rowOff>
    </xdr:from>
    <xdr:to>
      <xdr:col>10</xdr:col>
      <xdr:colOff>427862</xdr:colOff>
      <xdr:row>31</xdr:row>
      <xdr:rowOff>56417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95250"/>
          <a:ext cx="6104762" cy="58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883</xdr:row>
      <xdr:rowOff>0</xdr:rowOff>
    </xdr:from>
    <xdr:to>
      <xdr:col>7</xdr:col>
      <xdr:colOff>0</xdr:colOff>
      <xdr:row>883</xdr:row>
      <xdr:rowOff>0</xdr:rowOff>
    </xdr:to>
    <xdr:graphicFrame macro="">
      <xdr:nvGraphicFramePr>
        <xdr:cNvPr id="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7</xdr:col>
      <xdr:colOff>0</xdr:colOff>
      <xdr:row>3</xdr:row>
      <xdr:rowOff>0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E25"/>
  <sheetViews>
    <sheetView showGridLines="0" workbookViewId="0">
      <selection activeCell="B35" sqref="B35"/>
    </sheetView>
  </sheetViews>
  <sheetFormatPr defaultRowHeight="15" x14ac:dyDescent="0.25"/>
  <sheetData>
    <row r="3" spans="2:5" ht="21" x14ac:dyDescent="0.35">
      <c r="B3" s="24" t="s">
        <v>224</v>
      </c>
      <c r="C3" s="24"/>
      <c r="D3" s="24"/>
      <c r="E3" s="24"/>
    </row>
    <row r="4" spans="2:5" x14ac:dyDescent="0.25">
      <c r="B4" s="25">
        <v>1</v>
      </c>
      <c r="C4" t="s">
        <v>225</v>
      </c>
    </row>
    <row r="5" spans="2:5" x14ac:dyDescent="0.25">
      <c r="B5" s="25">
        <v>2</v>
      </c>
      <c r="C5" t="s">
        <v>226</v>
      </c>
    </row>
    <row r="6" spans="2:5" x14ac:dyDescent="0.25">
      <c r="B6" s="25">
        <v>3</v>
      </c>
      <c r="C6" t="s">
        <v>228</v>
      </c>
    </row>
    <row r="7" spans="2:5" x14ac:dyDescent="0.25">
      <c r="B7" s="25">
        <v>4</v>
      </c>
      <c r="C7" t="s">
        <v>227</v>
      </c>
    </row>
    <row r="8" spans="2:5" x14ac:dyDescent="0.25">
      <c r="B8" s="25">
        <v>5</v>
      </c>
      <c r="C8" t="s">
        <v>1504</v>
      </c>
    </row>
    <row r="9" spans="2:5" x14ac:dyDescent="0.25">
      <c r="B9" s="25">
        <v>6</v>
      </c>
      <c r="C9" t="s">
        <v>1505</v>
      </c>
    </row>
    <row r="10" spans="2:5" x14ac:dyDescent="0.25">
      <c r="B10" s="25">
        <v>7</v>
      </c>
      <c r="C10" t="s">
        <v>1506</v>
      </c>
    </row>
    <row r="11" spans="2:5" x14ac:dyDescent="0.25">
      <c r="B11" s="25">
        <v>8</v>
      </c>
      <c r="C11" t="s">
        <v>1507</v>
      </c>
    </row>
    <row r="12" spans="2:5" x14ac:dyDescent="0.25">
      <c r="B12" s="25">
        <v>9</v>
      </c>
      <c r="C12" t="s">
        <v>1508</v>
      </c>
    </row>
    <row r="13" spans="2:5" x14ac:dyDescent="0.25">
      <c r="B13" s="25">
        <v>10</v>
      </c>
      <c r="C13" t="s">
        <v>1509</v>
      </c>
    </row>
    <row r="14" spans="2:5" x14ac:dyDescent="0.25">
      <c r="B14" s="25">
        <v>11</v>
      </c>
      <c r="C14" t="s">
        <v>1510</v>
      </c>
    </row>
    <row r="15" spans="2:5" x14ac:dyDescent="0.25">
      <c r="B15" s="25" t="s">
        <v>1512</v>
      </c>
      <c r="C15" t="s">
        <v>1511</v>
      </c>
    </row>
    <row r="16" spans="2:5" x14ac:dyDescent="0.25">
      <c r="B16" s="25">
        <v>12</v>
      </c>
      <c r="C16" t="s">
        <v>1545</v>
      </c>
    </row>
    <row r="17" spans="2:3" x14ac:dyDescent="0.25">
      <c r="B17" s="25">
        <v>13</v>
      </c>
      <c r="C17" t="s">
        <v>1547</v>
      </c>
    </row>
    <row r="18" spans="2:3" x14ac:dyDescent="0.25">
      <c r="B18" s="25">
        <v>14</v>
      </c>
      <c r="C18" t="s">
        <v>1574</v>
      </c>
    </row>
    <row r="19" spans="2:3" x14ac:dyDescent="0.25">
      <c r="B19" s="25">
        <v>15</v>
      </c>
      <c r="C19" t="s">
        <v>1575</v>
      </c>
    </row>
    <row r="20" spans="2:3" x14ac:dyDescent="0.25">
      <c r="B20" s="25">
        <v>16</v>
      </c>
      <c r="C20" t="s">
        <v>1562</v>
      </c>
    </row>
    <row r="21" spans="2:3" x14ac:dyDescent="0.25">
      <c r="B21" s="25">
        <v>17</v>
      </c>
      <c r="C21" t="s">
        <v>1635</v>
      </c>
    </row>
    <row r="22" spans="2:3" x14ac:dyDescent="0.25">
      <c r="B22" s="25">
        <v>18</v>
      </c>
      <c r="C22" t="s">
        <v>1637</v>
      </c>
    </row>
    <row r="23" spans="2:3" x14ac:dyDescent="0.25">
      <c r="B23" s="25">
        <v>19</v>
      </c>
      <c r="C23" t="s">
        <v>1636</v>
      </c>
    </row>
    <row r="24" spans="2:3" x14ac:dyDescent="0.25">
      <c r="B24" s="25">
        <v>20</v>
      </c>
      <c r="C24" t="s">
        <v>1684</v>
      </c>
    </row>
    <row r="25" spans="2:3" x14ac:dyDescent="0.25">
      <c r="B25" s="25">
        <v>21</v>
      </c>
      <c r="C25" t="s">
        <v>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3"/>
  <sheetViews>
    <sheetView tabSelected="1" workbookViewId="0">
      <selection activeCell="B35" sqref="B35"/>
    </sheetView>
  </sheetViews>
  <sheetFormatPr defaultRowHeight="15" x14ac:dyDescent="0.25"/>
  <cols>
    <col min="1" max="1" width="22.85546875" style="4" customWidth="1"/>
    <col min="2" max="2" width="38" style="4" customWidth="1"/>
    <col min="3" max="3" width="29.140625" style="4" customWidth="1"/>
    <col min="4" max="16384" width="9.140625" style="4"/>
  </cols>
  <sheetData>
    <row r="1" spans="1:3" ht="21" x14ac:dyDescent="0.25">
      <c r="B1" s="19" t="s">
        <v>6</v>
      </c>
      <c r="C1" s="19" t="s">
        <v>7</v>
      </c>
    </row>
    <row r="2" spans="1:3" x14ac:dyDescent="0.25">
      <c r="A2" s="2" t="s">
        <v>5</v>
      </c>
      <c r="B2" s="1" t="s">
        <v>0</v>
      </c>
      <c r="C2" s="1" t="s">
        <v>8</v>
      </c>
    </row>
    <row r="3" spans="1:3" x14ac:dyDescent="0.25">
      <c r="A3" s="2" t="s">
        <v>1</v>
      </c>
      <c r="B3" s="1" t="s">
        <v>2</v>
      </c>
      <c r="C3" s="1" t="s">
        <v>4</v>
      </c>
    </row>
    <row r="4" spans="1:3" x14ac:dyDescent="0.25">
      <c r="A4" s="2" t="s">
        <v>28</v>
      </c>
      <c r="B4" s="1" t="s">
        <v>3</v>
      </c>
      <c r="C4" s="1" t="s">
        <v>4</v>
      </c>
    </row>
    <row r="5" spans="1:3" x14ac:dyDescent="0.25">
      <c r="A5" s="2" t="s">
        <v>29</v>
      </c>
      <c r="B5" s="1" t="s">
        <v>9</v>
      </c>
      <c r="C5" s="1" t="s">
        <v>10</v>
      </c>
    </row>
    <row r="6" spans="1:3" x14ac:dyDescent="0.25">
      <c r="A6" s="1"/>
      <c r="B6" s="1" t="s">
        <v>11</v>
      </c>
      <c r="C6" s="1" t="s">
        <v>12</v>
      </c>
    </row>
    <row r="7" spans="1:3" x14ac:dyDescent="0.25">
      <c r="A7" s="1"/>
      <c r="B7" s="1" t="s">
        <v>13</v>
      </c>
      <c r="C7" s="1" t="s">
        <v>14</v>
      </c>
    </row>
    <row r="8" spans="1:3" x14ac:dyDescent="0.25">
      <c r="A8" s="1"/>
      <c r="B8" s="1"/>
      <c r="C8" s="1" t="s">
        <v>15</v>
      </c>
    </row>
    <row r="9" spans="1:3" x14ac:dyDescent="0.25">
      <c r="A9" s="1"/>
      <c r="B9" s="1"/>
      <c r="C9" s="1" t="s">
        <v>16</v>
      </c>
    </row>
    <row r="10" spans="1:3" x14ac:dyDescent="0.25">
      <c r="A10" s="1"/>
      <c r="B10" s="1"/>
      <c r="C10" s="1"/>
    </row>
    <row r="11" spans="1:3" x14ac:dyDescent="0.25">
      <c r="A11" s="6" t="s">
        <v>39</v>
      </c>
      <c r="B11" s="1" t="s">
        <v>17</v>
      </c>
      <c r="C11" s="1" t="s">
        <v>18</v>
      </c>
    </row>
    <row r="12" spans="1:3" x14ac:dyDescent="0.25">
      <c r="A12" s="7"/>
      <c r="B12" s="4" t="s">
        <v>42</v>
      </c>
      <c r="C12" s="1" t="s">
        <v>41</v>
      </c>
    </row>
    <row r="13" spans="1:3" x14ac:dyDescent="0.25">
      <c r="A13" s="7"/>
      <c r="B13" s="1" t="s">
        <v>38</v>
      </c>
      <c r="C13" s="1" t="s">
        <v>40</v>
      </c>
    </row>
    <row r="14" spans="1:3" x14ac:dyDescent="0.25">
      <c r="A14" s="7"/>
    </row>
    <row r="15" spans="1:3" x14ac:dyDescent="0.25">
      <c r="A15" s="5" t="s">
        <v>30</v>
      </c>
      <c r="B15" s="4" t="s">
        <v>43</v>
      </c>
      <c r="C15" s="1" t="s">
        <v>26</v>
      </c>
    </row>
    <row r="16" spans="1:3" x14ac:dyDescent="0.25">
      <c r="A16" s="2"/>
      <c r="B16" s="1" t="s">
        <v>25</v>
      </c>
    </row>
    <row r="17" spans="1:3" x14ac:dyDescent="0.25">
      <c r="A17" s="2"/>
      <c r="B17" s="1"/>
      <c r="C17" s="1"/>
    </row>
    <row r="18" spans="1:3" x14ac:dyDescent="0.25">
      <c r="A18" s="5" t="s">
        <v>27</v>
      </c>
      <c r="B18" s="4" t="s">
        <v>31</v>
      </c>
      <c r="C18" s="4" t="s">
        <v>35</v>
      </c>
    </row>
    <row r="19" spans="1:3" x14ac:dyDescent="0.25">
      <c r="A19" s="5"/>
      <c r="B19" s="4" t="s">
        <v>32</v>
      </c>
      <c r="C19" s="4" t="s">
        <v>37</v>
      </c>
    </row>
    <row r="20" spans="1:3" x14ac:dyDescent="0.25">
      <c r="A20" s="5"/>
      <c r="B20" s="4" t="s">
        <v>33</v>
      </c>
    </row>
    <row r="21" spans="1:3" x14ac:dyDescent="0.25">
      <c r="A21" s="5"/>
      <c r="B21" s="4" t="s">
        <v>34</v>
      </c>
    </row>
    <row r="22" spans="1:3" x14ac:dyDescent="0.25">
      <c r="A22" s="5"/>
      <c r="B22" s="4" t="s">
        <v>36</v>
      </c>
    </row>
    <row r="23" spans="1:3" x14ac:dyDescent="0.25">
      <c r="A23" s="5"/>
    </row>
    <row r="24" spans="1:3" x14ac:dyDescent="0.25">
      <c r="A24" s="2" t="s">
        <v>22</v>
      </c>
      <c r="B24" s="1" t="s">
        <v>24</v>
      </c>
      <c r="C24" s="1" t="s">
        <v>23</v>
      </c>
    </row>
    <row r="25" spans="1:3" x14ac:dyDescent="0.25">
      <c r="A25" s="2"/>
      <c r="B25" s="1"/>
      <c r="C25" s="1"/>
    </row>
    <row r="26" spans="1:3" x14ac:dyDescent="0.25">
      <c r="A26" s="2" t="s">
        <v>19</v>
      </c>
      <c r="B26" s="1" t="s">
        <v>20</v>
      </c>
      <c r="C26" s="1" t="s">
        <v>21</v>
      </c>
    </row>
    <row r="27" spans="1:3" x14ac:dyDescent="0.25">
      <c r="A27" s="2"/>
      <c r="B27" s="1"/>
      <c r="C27" s="1"/>
    </row>
    <row r="29" spans="1:3" x14ac:dyDescent="0.25">
      <c r="A29" s="3"/>
      <c r="B29" s="1"/>
      <c r="C29" s="1"/>
    </row>
    <row r="30" spans="1:3" x14ac:dyDescent="0.25">
      <c r="A30" s="3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B35" sqref="B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AB52"/>
  <sheetViews>
    <sheetView workbookViewId="0">
      <selection activeCell="B35" sqref="B35"/>
    </sheetView>
  </sheetViews>
  <sheetFormatPr defaultRowHeight="12" x14ac:dyDescent="0.2"/>
  <cols>
    <col min="1" max="7" width="9.140625" style="8"/>
    <col min="8" max="8" width="9" style="8" customWidth="1"/>
    <col min="9" max="10" width="9.140625" style="8"/>
    <col min="11" max="11" width="16.7109375" style="8" customWidth="1"/>
    <col min="12" max="12" width="11.5703125" style="8" customWidth="1"/>
    <col min="13" max="13" width="6.28515625" style="8" customWidth="1"/>
    <col min="14" max="14" width="11.140625" style="8" customWidth="1"/>
    <col min="15" max="18" width="9.140625" style="8"/>
    <col min="19" max="19" width="10.85546875" style="8" bestFit="1" customWidth="1"/>
    <col min="20" max="23" width="9.140625" style="8"/>
    <col min="24" max="24" width="11" style="8" customWidth="1"/>
    <col min="25" max="16384" width="9.140625" style="8"/>
  </cols>
  <sheetData>
    <row r="2" spans="1:28" ht="24" customHeight="1" x14ac:dyDescent="0.2">
      <c r="B2" s="26" t="s">
        <v>222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4" spans="1:28" x14ac:dyDescent="0.2">
      <c r="A4" s="17" t="s">
        <v>54</v>
      </c>
      <c r="B4" s="17" t="s">
        <v>46</v>
      </c>
      <c r="C4" s="17" t="s">
        <v>47</v>
      </c>
      <c r="D4" s="17" t="s">
        <v>48</v>
      </c>
      <c r="E4" s="17" t="s">
        <v>49</v>
      </c>
      <c r="F4" s="17" t="s">
        <v>50</v>
      </c>
      <c r="G4" s="17" t="s">
        <v>51</v>
      </c>
      <c r="H4" s="17" t="s">
        <v>52</v>
      </c>
      <c r="I4" s="17" t="s">
        <v>217</v>
      </c>
      <c r="J4" s="17" t="s">
        <v>218</v>
      </c>
      <c r="K4" s="17" t="s">
        <v>219</v>
      </c>
      <c r="L4" s="17" t="s">
        <v>220</v>
      </c>
      <c r="M4" s="17" t="s">
        <v>221</v>
      </c>
      <c r="N4" s="18" t="s">
        <v>183</v>
      </c>
      <c r="O4" s="18" t="s">
        <v>185</v>
      </c>
      <c r="P4" s="18" t="s">
        <v>215</v>
      </c>
      <c r="Q4" s="18" t="s">
        <v>188</v>
      </c>
      <c r="R4" s="18" t="s">
        <v>216</v>
      </c>
      <c r="S4" s="18" t="s">
        <v>183</v>
      </c>
      <c r="T4" s="18" t="s">
        <v>185</v>
      </c>
      <c r="U4" s="18" t="s">
        <v>215</v>
      </c>
      <c r="V4" s="18" t="s">
        <v>188</v>
      </c>
      <c r="W4" s="18" t="s">
        <v>216</v>
      </c>
      <c r="X4" s="18" t="s">
        <v>183</v>
      </c>
      <c r="Y4" s="18" t="s">
        <v>185</v>
      </c>
      <c r="Z4" s="18" t="s">
        <v>215</v>
      </c>
      <c r="AA4" s="18" t="s">
        <v>188</v>
      </c>
      <c r="AB4" s="18" t="s">
        <v>216</v>
      </c>
    </row>
    <row r="5" spans="1:28" x14ac:dyDescent="0.2">
      <c r="A5" s="11">
        <v>1199</v>
      </c>
      <c r="B5" s="11">
        <v>1001</v>
      </c>
      <c r="C5" s="11" t="s">
        <v>61</v>
      </c>
      <c r="D5" s="11" t="s">
        <v>62</v>
      </c>
      <c r="E5" s="11" t="s">
        <v>63</v>
      </c>
      <c r="F5" s="11" t="s">
        <v>67</v>
      </c>
      <c r="G5" s="11" t="s">
        <v>68</v>
      </c>
      <c r="H5" s="11">
        <v>32328</v>
      </c>
      <c r="I5" s="12">
        <v>37711</v>
      </c>
      <c r="J5" s="12">
        <v>37712</v>
      </c>
      <c r="K5" s="11" t="s">
        <v>66</v>
      </c>
      <c r="L5" s="11" t="s">
        <v>67</v>
      </c>
      <c r="M5" s="11" t="s">
        <v>68</v>
      </c>
      <c r="N5" s="9">
        <v>4981341710</v>
      </c>
      <c r="O5" s="9" t="s">
        <v>195</v>
      </c>
      <c r="P5" s="11">
        <v>1</v>
      </c>
      <c r="Q5" s="15">
        <v>14.2</v>
      </c>
      <c r="R5" s="15">
        <f t="shared" ref="R5:R9" si="0">P5*Q5</f>
        <v>14.2</v>
      </c>
      <c r="S5" s="9">
        <v>8843172113</v>
      </c>
      <c r="T5" s="9" t="s">
        <v>197</v>
      </c>
      <c r="U5" s="14">
        <v>1</v>
      </c>
      <c r="V5" s="15">
        <v>37.799999999999997</v>
      </c>
      <c r="W5" s="15">
        <f t="shared" ref="W5" si="1">U5*V5</f>
        <v>37.799999999999997</v>
      </c>
      <c r="X5" s="11"/>
      <c r="Y5" s="11"/>
      <c r="Z5" s="11"/>
      <c r="AA5" s="11"/>
      <c r="AB5" s="11"/>
    </row>
    <row r="6" spans="1:28" x14ac:dyDescent="0.2">
      <c r="A6" s="11">
        <v>2681</v>
      </c>
      <c r="B6" s="11">
        <v>1001</v>
      </c>
      <c r="C6" s="11" t="s">
        <v>61</v>
      </c>
      <c r="D6" s="11" t="s">
        <v>62</v>
      </c>
      <c r="E6" s="11" t="s">
        <v>63</v>
      </c>
      <c r="F6" s="11" t="s">
        <v>67</v>
      </c>
      <c r="G6" s="11" t="s">
        <v>68</v>
      </c>
      <c r="H6" s="11">
        <v>32328</v>
      </c>
      <c r="I6" s="12">
        <v>37714</v>
      </c>
      <c r="J6" s="12">
        <v>37716</v>
      </c>
      <c r="K6" s="11" t="s">
        <v>66</v>
      </c>
      <c r="L6" s="11" t="s">
        <v>67</v>
      </c>
      <c r="M6" s="11" t="s">
        <v>68</v>
      </c>
      <c r="N6" s="9">
        <v>1059831198</v>
      </c>
      <c r="O6" s="9" t="s">
        <v>191</v>
      </c>
      <c r="P6" s="11">
        <v>3</v>
      </c>
      <c r="Q6" s="16">
        <v>18.75</v>
      </c>
      <c r="R6" s="16">
        <f>P6*Q6</f>
        <v>56.25</v>
      </c>
      <c r="S6" s="11"/>
      <c r="T6" s="11"/>
      <c r="U6" s="11"/>
      <c r="V6" s="16"/>
      <c r="W6" s="16"/>
      <c r="X6" s="11"/>
      <c r="Y6" s="11"/>
      <c r="Z6" s="11"/>
      <c r="AA6" s="11"/>
      <c r="AB6" s="11"/>
    </row>
    <row r="7" spans="1:28" x14ac:dyDescent="0.2">
      <c r="A7" s="11">
        <v>3150</v>
      </c>
      <c r="B7" s="11">
        <v>1001</v>
      </c>
      <c r="C7" s="11" t="s">
        <v>61</v>
      </c>
      <c r="D7" s="11" t="s">
        <v>62</v>
      </c>
      <c r="E7" s="11" t="s">
        <v>63</v>
      </c>
      <c r="F7" s="11" t="s">
        <v>67</v>
      </c>
      <c r="G7" s="11" t="s">
        <v>68</v>
      </c>
      <c r="H7" s="11">
        <v>32328</v>
      </c>
      <c r="I7" s="12">
        <v>37714</v>
      </c>
      <c r="J7" s="11"/>
      <c r="K7" s="11" t="s">
        <v>66</v>
      </c>
      <c r="L7" s="11" t="s">
        <v>67</v>
      </c>
      <c r="M7" s="11" t="s">
        <v>68</v>
      </c>
      <c r="N7" s="9">
        <v>3437212490</v>
      </c>
      <c r="O7" s="9" t="s">
        <v>199</v>
      </c>
      <c r="P7" s="11">
        <v>4</v>
      </c>
      <c r="Q7" s="16">
        <v>12.5</v>
      </c>
      <c r="R7" s="16">
        <f t="shared" si="0"/>
        <v>50</v>
      </c>
      <c r="S7" s="11"/>
      <c r="T7" s="11"/>
      <c r="U7" s="11"/>
      <c r="V7" s="16"/>
      <c r="W7" s="16"/>
      <c r="X7" s="11"/>
      <c r="Y7" s="11"/>
      <c r="Z7" s="11"/>
      <c r="AA7" s="11"/>
      <c r="AB7" s="11"/>
    </row>
    <row r="8" spans="1:28" x14ac:dyDescent="0.2">
      <c r="A8" s="11">
        <v>4570</v>
      </c>
      <c r="B8" s="11">
        <v>1001</v>
      </c>
      <c r="C8" s="11" t="s">
        <v>61</v>
      </c>
      <c r="D8" s="11" t="s">
        <v>62</v>
      </c>
      <c r="E8" s="11" t="s">
        <v>63</v>
      </c>
      <c r="F8" s="11" t="s">
        <v>67</v>
      </c>
      <c r="G8" s="11" t="s">
        <v>68</v>
      </c>
      <c r="H8" s="11">
        <v>32328</v>
      </c>
      <c r="I8" s="12">
        <v>37714</v>
      </c>
      <c r="J8" s="12">
        <v>37715</v>
      </c>
      <c r="K8" s="11" t="s">
        <v>66</v>
      </c>
      <c r="L8" s="11" t="s">
        <v>67</v>
      </c>
      <c r="M8" s="11" t="s">
        <v>68</v>
      </c>
      <c r="N8" s="9">
        <v>3957136468</v>
      </c>
      <c r="O8" s="9" t="s">
        <v>201</v>
      </c>
      <c r="P8" s="11">
        <v>3</v>
      </c>
      <c r="Q8" s="16">
        <v>47.25</v>
      </c>
      <c r="R8" s="16">
        <f t="shared" si="0"/>
        <v>141.75</v>
      </c>
      <c r="S8" s="11"/>
      <c r="T8" s="11"/>
      <c r="U8" s="11"/>
      <c r="V8" s="16"/>
      <c r="W8" s="16"/>
      <c r="X8" s="11"/>
      <c r="Y8" s="11"/>
      <c r="Z8" s="11"/>
      <c r="AA8" s="11"/>
      <c r="AB8" s="11"/>
    </row>
    <row r="9" spans="1:28" x14ac:dyDescent="0.2">
      <c r="A9" s="11">
        <v>5414</v>
      </c>
      <c r="B9" s="11">
        <v>1001</v>
      </c>
      <c r="C9" s="11" t="s">
        <v>61</v>
      </c>
      <c r="D9" s="11" t="s">
        <v>62</v>
      </c>
      <c r="E9" s="11" t="s">
        <v>63</v>
      </c>
      <c r="F9" s="11" t="s">
        <v>67</v>
      </c>
      <c r="G9" s="11" t="s">
        <v>68</v>
      </c>
      <c r="H9" s="11">
        <v>32328</v>
      </c>
      <c r="I9" s="12">
        <v>37714</v>
      </c>
      <c r="J9" s="12">
        <v>37716</v>
      </c>
      <c r="K9" s="11" t="s">
        <v>66</v>
      </c>
      <c r="L9" s="11" t="s">
        <v>67</v>
      </c>
      <c r="M9" s="11" t="s">
        <v>68</v>
      </c>
      <c r="N9" s="9">
        <v>1915762492</v>
      </c>
      <c r="O9" s="9" t="s">
        <v>202</v>
      </c>
      <c r="P9" s="11">
        <v>1</v>
      </c>
      <c r="Q9" s="16">
        <v>21.8</v>
      </c>
      <c r="R9" s="16">
        <f t="shared" si="0"/>
        <v>21.8</v>
      </c>
      <c r="S9" s="11"/>
      <c r="T9" s="11"/>
      <c r="U9" s="11"/>
      <c r="V9" s="16"/>
      <c r="W9" s="16"/>
      <c r="X9" s="11"/>
      <c r="Y9" s="11"/>
      <c r="Z9" s="11"/>
      <c r="AA9" s="11"/>
      <c r="AB9" s="11"/>
    </row>
    <row r="10" spans="1:28" x14ac:dyDescent="0.2">
      <c r="A10" s="11">
        <v>6324</v>
      </c>
      <c r="B10" s="11">
        <v>1001</v>
      </c>
      <c r="C10" s="11" t="s">
        <v>61</v>
      </c>
      <c r="D10" s="11" t="s">
        <v>62</v>
      </c>
      <c r="E10" s="11" t="s">
        <v>63</v>
      </c>
      <c r="F10" s="11" t="s">
        <v>67</v>
      </c>
      <c r="G10" s="11" t="s">
        <v>68</v>
      </c>
      <c r="H10" s="11">
        <v>32328</v>
      </c>
      <c r="I10" s="12">
        <v>37713</v>
      </c>
      <c r="J10" s="12">
        <v>37715</v>
      </c>
      <c r="K10" s="11" t="s">
        <v>66</v>
      </c>
      <c r="L10" s="11" t="s">
        <v>67</v>
      </c>
      <c r="M10" s="11" t="s">
        <v>68</v>
      </c>
      <c r="N10" s="9">
        <v>1059831198</v>
      </c>
      <c r="O10" s="9" t="s">
        <v>191</v>
      </c>
      <c r="P10" s="11">
        <v>3</v>
      </c>
      <c r="Q10" s="16">
        <v>18.75</v>
      </c>
      <c r="R10" s="16">
        <f>P10*Q10</f>
        <v>56.25</v>
      </c>
      <c r="S10" s="11"/>
      <c r="T10" s="11"/>
      <c r="U10" s="11"/>
      <c r="V10" s="16"/>
      <c r="W10" s="16"/>
      <c r="X10" s="11"/>
      <c r="Y10" s="11"/>
      <c r="Z10" s="11"/>
      <c r="AA10" s="11"/>
      <c r="AB10" s="11"/>
    </row>
    <row r="11" spans="1:28" x14ac:dyDescent="0.2">
      <c r="A11" s="11">
        <v>6754</v>
      </c>
      <c r="B11" s="11">
        <v>1001</v>
      </c>
      <c r="C11" s="11" t="s">
        <v>61</v>
      </c>
      <c r="D11" s="11" t="s">
        <v>62</v>
      </c>
      <c r="E11" s="11" t="s">
        <v>63</v>
      </c>
      <c r="F11" s="11" t="s">
        <v>67</v>
      </c>
      <c r="G11" s="11" t="s">
        <v>68</v>
      </c>
      <c r="H11" s="11">
        <v>32328</v>
      </c>
      <c r="I11" s="12">
        <v>37713</v>
      </c>
      <c r="J11" s="12">
        <v>37714</v>
      </c>
      <c r="K11" s="11" t="s">
        <v>66</v>
      </c>
      <c r="L11" s="11" t="s">
        <v>67</v>
      </c>
      <c r="M11" s="11" t="s">
        <v>68</v>
      </c>
      <c r="N11" s="9">
        <v>1915762492</v>
      </c>
      <c r="O11" s="9" t="s">
        <v>202</v>
      </c>
      <c r="P11" s="11">
        <v>1</v>
      </c>
      <c r="Q11" s="15">
        <v>21.8</v>
      </c>
      <c r="R11" s="15">
        <f t="shared" ref="R11:R15" si="2">P11*Q11</f>
        <v>21.8</v>
      </c>
      <c r="S11" s="9">
        <v>3957136468</v>
      </c>
      <c r="T11" s="9" t="s">
        <v>201</v>
      </c>
      <c r="U11" s="11">
        <v>3</v>
      </c>
      <c r="V11" s="15">
        <v>47.25</v>
      </c>
      <c r="W11" s="15">
        <f t="shared" ref="W11:W12" si="3">U11*V11</f>
        <v>141.75</v>
      </c>
      <c r="X11" s="11"/>
      <c r="Y11" s="11"/>
      <c r="Z11" s="11"/>
      <c r="AA11" s="11"/>
      <c r="AB11" s="11"/>
    </row>
    <row r="12" spans="1:28" x14ac:dyDescent="0.2">
      <c r="A12" s="11">
        <v>6867</v>
      </c>
      <c r="B12" s="11">
        <v>1001</v>
      </c>
      <c r="C12" s="11" t="s">
        <v>61</v>
      </c>
      <c r="D12" s="11" t="s">
        <v>62</v>
      </c>
      <c r="E12" s="11" t="s">
        <v>63</v>
      </c>
      <c r="F12" s="11" t="s">
        <v>67</v>
      </c>
      <c r="G12" s="11" t="s">
        <v>68</v>
      </c>
      <c r="H12" s="11">
        <v>32328</v>
      </c>
      <c r="I12" s="12">
        <v>37712</v>
      </c>
      <c r="J12" s="12">
        <v>37712</v>
      </c>
      <c r="K12" s="11" t="s">
        <v>66</v>
      </c>
      <c r="L12" s="11" t="s">
        <v>67</v>
      </c>
      <c r="M12" s="11" t="s">
        <v>68</v>
      </c>
      <c r="N12" s="9">
        <v>9959789321</v>
      </c>
      <c r="O12" s="9" t="s">
        <v>203</v>
      </c>
      <c r="P12" s="11">
        <v>1</v>
      </c>
      <c r="Q12" s="15">
        <v>37.9</v>
      </c>
      <c r="R12" s="15">
        <f t="shared" si="2"/>
        <v>37.9</v>
      </c>
      <c r="S12" s="9">
        <v>1915762492</v>
      </c>
      <c r="T12" s="9" t="s">
        <v>202</v>
      </c>
      <c r="U12" s="11">
        <v>1</v>
      </c>
      <c r="V12" s="15">
        <v>21.8</v>
      </c>
      <c r="W12" s="15">
        <f t="shared" si="3"/>
        <v>21.8</v>
      </c>
      <c r="X12" s="11"/>
      <c r="Y12" s="11"/>
      <c r="Z12" s="11"/>
      <c r="AA12" s="11"/>
      <c r="AB12" s="11"/>
    </row>
    <row r="13" spans="1:28" x14ac:dyDescent="0.2">
      <c r="A13" s="11">
        <v>7091</v>
      </c>
      <c r="B13" s="11">
        <v>1001</v>
      </c>
      <c r="C13" s="11" t="s">
        <v>61</v>
      </c>
      <c r="D13" s="11" t="s">
        <v>62</v>
      </c>
      <c r="E13" s="11" t="s">
        <v>63</v>
      </c>
      <c r="F13" s="11" t="s">
        <v>67</v>
      </c>
      <c r="G13" s="11" t="s">
        <v>68</v>
      </c>
      <c r="H13" s="11">
        <v>32328</v>
      </c>
      <c r="I13" s="12">
        <v>37712</v>
      </c>
      <c r="J13" s="12">
        <v>37713</v>
      </c>
      <c r="K13" s="11" t="s">
        <v>66</v>
      </c>
      <c r="L13" s="11" t="s">
        <v>67</v>
      </c>
      <c r="M13" s="11" t="s">
        <v>68</v>
      </c>
      <c r="N13" s="9">
        <v>2491748320</v>
      </c>
      <c r="O13" s="9" t="s">
        <v>204</v>
      </c>
      <c r="P13" s="11">
        <v>2</v>
      </c>
      <c r="Q13" s="16">
        <v>48</v>
      </c>
      <c r="R13" s="16">
        <f t="shared" si="2"/>
        <v>96</v>
      </c>
      <c r="S13" s="11"/>
      <c r="T13" s="11"/>
      <c r="U13" s="11"/>
      <c r="V13" s="16"/>
      <c r="W13" s="16"/>
      <c r="X13" s="11"/>
      <c r="Y13" s="11"/>
      <c r="Z13" s="11"/>
      <c r="AA13" s="11"/>
      <c r="AB13" s="11"/>
    </row>
    <row r="14" spans="1:28" x14ac:dyDescent="0.2">
      <c r="A14" s="11">
        <v>7764</v>
      </c>
      <c r="B14" s="11">
        <v>1001</v>
      </c>
      <c r="C14" s="11" t="s">
        <v>61</v>
      </c>
      <c r="D14" s="11" t="s">
        <v>62</v>
      </c>
      <c r="E14" s="11" t="s">
        <v>63</v>
      </c>
      <c r="F14" s="11" t="s">
        <v>67</v>
      </c>
      <c r="G14" s="11" t="s">
        <v>68</v>
      </c>
      <c r="H14" s="11">
        <v>32328</v>
      </c>
      <c r="I14" s="12">
        <v>37712</v>
      </c>
      <c r="J14" s="12">
        <v>37716</v>
      </c>
      <c r="K14" s="11" t="s">
        <v>66</v>
      </c>
      <c r="L14" s="11" t="s">
        <v>67</v>
      </c>
      <c r="M14" s="11" t="s">
        <v>68</v>
      </c>
      <c r="N14" s="9">
        <v>299282519</v>
      </c>
      <c r="O14" s="9" t="s">
        <v>205</v>
      </c>
      <c r="P14" s="11">
        <v>2</v>
      </c>
      <c r="Q14" s="16">
        <v>19</v>
      </c>
      <c r="R14" s="16">
        <f t="shared" si="2"/>
        <v>38</v>
      </c>
      <c r="S14" s="11"/>
      <c r="T14" s="11"/>
      <c r="U14" s="11"/>
      <c r="V14" s="16"/>
      <c r="W14" s="16"/>
      <c r="X14" s="11"/>
      <c r="Y14" s="11"/>
      <c r="Z14" s="11"/>
      <c r="AA14" s="11"/>
      <c r="AB14" s="11"/>
    </row>
    <row r="15" spans="1:28" x14ac:dyDescent="0.2">
      <c r="A15" s="11">
        <v>7778</v>
      </c>
      <c r="B15" s="11">
        <v>1001</v>
      </c>
      <c r="C15" s="11" t="s">
        <v>61</v>
      </c>
      <c r="D15" s="11" t="s">
        <v>62</v>
      </c>
      <c r="E15" s="11" t="s">
        <v>63</v>
      </c>
      <c r="F15" s="11" t="s">
        <v>67</v>
      </c>
      <c r="G15" s="11" t="s">
        <v>68</v>
      </c>
      <c r="H15" s="11">
        <v>32328</v>
      </c>
      <c r="I15" s="12">
        <v>37734</v>
      </c>
      <c r="J15" s="12">
        <v>37738</v>
      </c>
      <c r="K15" s="11" t="s">
        <v>66</v>
      </c>
      <c r="L15" s="11" t="s">
        <v>67</v>
      </c>
      <c r="M15" s="11" t="s">
        <v>68</v>
      </c>
      <c r="N15" s="9">
        <v>1915762492</v>
      </c>
      <c r="O15" s="9" t="s">
        <v>202</v>
      </c>
      <c r="P15" s="11">
        <v>1</v>
      </c>
      <c r="Q15" s="16">
        <v>21.8</v>
      </c>
      <c r="R15" s="16">
        <f t="shared" si="2"/>
        <v>21.8</v>
      </c>
      <c r="S15" s="11"/>
      <c r="T15" s="11"/>
      <c r="U15" s="11"/>
      <c r="V15" s="16"/>
      <c r="W15" s="16"/>
      <c r="X15" s="11"/>
      <c r="Y15" s="11"/>
      <c r="Z15" s="11"/>
      <c r="AA15" s="11"/>
      <c r="AB15" s="11"/>
    </row>
    <row r="16" spans="1:28" x14ac:dyDescent="0.2">
      <c r="A16" s="11">
        <v>7822</v>
      </c>
      <c r="B16" s="11">
        <v>1001</v>
      </c>
      <c r="C16" s="11" t="s">
        <v>61</v>
      </c>
      <c r="D16" s="11" t="s">
        <v>62</v>
      </c>
      <c r="E16" s="11" t="s">
        <v>63</v>
      </c>
      <c r="F16" s="11" t="s">
        <v>67</v>
      </c>
      <c r="G16" s="11" t="s">
        <v>68</v>
      </c>
      <c r="H16" s="11">
        <v>32328</v>
      </c>
      <c r="I16" s="12">
        <v>37712</v>
      </c>
      <c r="J16" s="12">
        <v>37713</v>
      </c>
      <c r="K16" s="11" t="s">
        <v>66</v>
      </c>
      <c r="L16" s="11" t="s">
        <v>67</v>
      </c>
      <c r="M16" s="11" t="s">
        <v>68</v>
      </c>
      <c r="N16" s="9">
        <v>1059831198</v>
      </c>
      <c r="O16" s="9" t="s">
        <v>191</v>
      </c>
      <c r="P16" s="11">
        <v>3</v>
      </c>
      <c r="Q16" s="16">
        <v>18.75</v>
      </c>
      <c r="R16" s="16">
        <f>P16*Q16</f>
        <v>56.25</v>
      </c>
      <c r="S16" s="11"/>
      <c r="T16" s="11"/>
      <c r="U16" s="11"/>
      <c r="V16" s="16"/>
      <c r="W16" s="16"/>
      <c r="X16" s="11"/>
      <c r="Y16" s="11"/>
      <c r="Z16" s="11"/>
      <c r="AA16" s="11"/>
      <c r="AB16" s="11"/>
    </row>
    <row r="17" spans="1:28" x14ac:dyDescent="0.2">
      <c r="A17" s="11">
        <v>8144</v>
      </c>
      <c r="B17" s="11">
        <v>1001</v>
      </c>
      <c r="C17" s="11" t="s">
        <v>61</v>
      </c>
      <c r="D17" s="11" t="s">
        <v>62</v>
      </c>
      <c r="E17" s="11" t="s">
        <v>63</v>
      </c>
      <c r="F17" s="11" t="s">
        <v>67</v>
      </c>
      <c r="G17" s="11" t="s">
        <v>68</v>
      </c>
      <c r="H17" s="11">
        <v>32328</v>
      </c>
      <c r="I17" s="12">
        <v>37714</v>
      </c>
      <c r="J17" s="12">
        <v>37715</v>
      </c>
      <c r="K17" s="11" t="s">
        <v>66</v>
      </c>
      <c r="L17" s="11" t="s">
        <v>67</v>
      </c>
      <c r="M17" s="11" t="s">
        <v>68</v>
      </c>
      <c r="N17" s="9">
        <v>8117949391</v>
      </c>
      <c r="O17" s="9" t="s">
        <v>206</v>
      </c>
      <c r="P17" s="11">
        <v>1</v>
      </c>
      <c r="Q17" s="15">
        <v>5.32</v>
      </c>
      <c r="R17" s="15">
        <f t="shared" ref="R17:R19" si="4">P17*Q17</f>
        <v>5.32</v>
      </c>
      <c r="S17" s="9">
        <v>2491748320</v>
      </c>
      <c r="T17" s="9" t="s">
        <v>204</v>
      </c>
      <c r="U17" s="11">
        <v>2</v>
      </c>
      <c r="V17" s="15">
        <v>48</v>
      </c>
      <c r="W17" s="15">
        <f t="shared" ref="W17:W18" si="5">U17*V17</f>
        <v>96</v>
      </c>
      <c r="X17" s="9">
        <v>4981341710</v>
      </c>
      <c r="Y17" s="9" t="s">
        <v>195</v>
      </c>
      <c r="Z17" s="11">
        <v>1</v>
      </c>
      <c r="AA17" s="15">
        <v>14.2</v>
      </c>
      <c r="AB17" s="15">
        <f t="shared" ref="AB17" si="6">Z17*AA17</f>
        <v>14.2</v>
      </c>
    </row>
    <row r="18" spans="1:28" x14ac:dyDescent="0.2">
      <c r="A18" s="11">
        <v>8412</v>
      </c>
      <c r="B18" s="11">
        <v>1001</v>
      </c>
      <c r="C18" s="11" t="s">
        <v>61</v>
      </c>
      <c r="D18" s="11" t="s">
        <v>62</v>
      </c>
      <c r="E18" s="11" t="s">
        <v>63</v>
      </c>
      <c r="F18" s="11" t="s">
        <v>67</v>
      </c>
      <c r="G18" s="11" t="s">
        <v>68</v>
      </c>
      <c r="H18" s="11">
        <v>32328</v>
      </c>
      <c r="I18" s="12">
        <v>37711</v>
      </c>
      <c r="J18" s="12">
        <v>37712</v>
      </c>
      <c r="K18" s="11" t="s">
        <v>66</v>
      </c>
      <c r="L18" s="11" t="s">
        <v>67</v>
      </c>
      <c r="M18" s="11" t="s">
        <v>68</v>
      </c>
      <c r="N18" s="9">
        <v>132149871</v>
      </c>
      <c r="O18" s="9" t="s">
        <v>207</v>
      </c>
      <c r="P18" s="11">
        <v>3</v>
      </c>
      <c r="Q18" s="15">
        <v>17.850000000000001</v>
      </c>
      <c r="R18" s="15">
        <f t="shared" si="4"/>
        <v>53.550000000000004</v>
      </c>
      <c r="S18" s="9">
        <v>299282519</v>
      </c>
      <c r="T18" s="9" t="s">
        <v>205</v>
      </c>
      <c r="U18" s="11">
        <v>2</v>
      </c>
      <c r="V18" s="15">
        <v>19</v>
      </c>
      <c r="W18" s="15">
        <f t="shared" si="5"/>
        <v>38</v>
      </c>
      <c r="X18" s="11"/>
      <c r="Y18" s="11"/>
      <c r="Z18" s="11"/>
      <c r="AA18" s="11"/>
      <c r="AB18" s="11"/>
    </row>
    <row r="19" spans="1:28" x14ac:dyDescent="0.2">
      <c r="A19" s="11">
        <v>9379</v>
      </c>
      <c r="B19" s="11">
        <v>1001</v>
      </c>
      <c r="C19" s="11" t="s">
        <v>61</v>
      </c>
      <c r="D19" s="11" t="s">
        <v>62</v>
      </c>
      <c r="E19" s="11" t="s">
        <v>63</v>
      </c>
      <c r="F19" s="11" t="s">
        <v>67</v>
      </c>
      <c r="G19" s="11" t="s">
        <v>68</v>
      </c>
      <c r="H19" s="11">
        <v>32328</v>
      </c>
      <c r="I19" s="12">
        <v>37711</v>
      </c>
      <c r="J19" s="12">
        <v>37713</v>
      </c>
      <c r="K19" s="11" t="s">
        <v>66</v>
      </c>
      <c r="L19" s="11" t="s">
        <v>67</v>
      </c>
      <c r="M19" s="11" t="s">
        <v>68</v>
      </c>
      <c r="N19" s="9">
        <v>9247381001</v>
      </c>
      <c r="O19" s="9" t="s">
        <v>209</v>
      </c>
      <c r="P19" s="11">
        <v>2</v>
      </c>
      <c r="Q19" s="16">
        <v>15.4</v>
      </c>
      <c r="R19" s="16">
        <f t="shared" si="4"/>
        <v>30.8</v>
      </c>
      <c r="S19" s="11"/>
      <c r="T19" s="11"/>
      <c r="U19" s="11"/>
      <c r="V19" s="16"/>
      <c r="W19" s="16"/>
      <c r="X19" s="11"/>
      <c r="Y19" s="11"/>
      <c r="Z19" s="11"/>
      <c r="AA19" s="11"/>
      <c r="AB19" s="11"/>
    </row>
    <row r="20" spans="1:28" x14ac:dyDescent="0.2">
      <c r="A20" s="8">
        <v>10621</v>
      </c>
      <c r="B20" s="11">
        <v>1001</v>
      </c>
      <c r="C20" s="11" t="s">
        <v>61</v>
      </c>
      <c r="D20" s="11" t="s">
        <v>62</v>
      </c>
      <c r="E20" s="11" t="s">
        <v>63</v>
      </c>
      <c r="F20" s="11" t="s">
        <v>67</v>
      </c>
      <c r="G20" s="11" t="s">
        <v>68</v>
      </c>
      <c r="H20" s="11">
        <v>32328</v>
      </c>
      <c r="I20" s="12">
        <v>37711</v>
      </c>
      <c r="J20" s="12">
        <v>37713</v>
      </c>
      <c r="K20" s="11" t="s">
        <v>66</v>
      </c>
      <c r="L20" s="11" t="s">
        <v>67</v>
      </c>
      <c r="M20" s="11" t="s">
        <v>68</v>
      </c>
      <c r="N20" s="9">
        <v>9247381001</v>
      </c>
      <c r="O20" s="9" t="s">
        <v>209</v>
      </c>
      <c r="P20" s="11">
        <v>2</v>
      </c>
      <c r="Q20" s="16">
        <v>15.4</v>
      </c>
      <c r="R20" s="16">
        <f t="shared" ref="R20:R45" si="7">P20*Q20</f>
        <v>30.8</v>
      </c>
      <c r="S20" s="11"/>
      <c r="T20" s="11"/>
      <c r="U20" s="11"/>
      <c r="V20" s="16"/>
      <c r="W20" s="16"/>
      <c r="X20" s="11"/>
      <c r="Y20" s="11"/>
      <c r="Z20" s="11"/>
      <c r="AA20" s="11"/>
      <c r="AB20" s="11"/>
    </row>
    <row r="21" spans="1:28" x14ac:dyDescent="0.2">
      <c r="A21" s="8">
        <v>11014</v>
      </c>
      <c r="B21" s="11">
        <v>1001</v>
      </c>
      <c r="C21" s="11" t="s">
        <v>61</v>
      </c>
      <c r="D21" s="11" t="s">
        <v>62</v>
      </c>
      <c r="E21" s="11" t="s">
        <v>63</v>
      </c>
      <c r="F21" s="11" t="s">
        <v>67</v>
      </c>
      <c r="G21" s="11" t="s">
        <v>68</v>
      </c>
      <c r="H21" s="11">
        <v>32328</v>
      </c>
      <c r="I21" s="12">
        <v>37711</v>
      </c>
      <c r="J21" s="12">
        <v>37713</v>
      </c>
      <c r="K21" s="11" t="s">
        <v>66</v>
      </c>
      <c r="L21" s="11" t="s">
        <v>67</v>
      </c>
      <c r="M21" s="11" t="s">
        <v>68</v>
      </c>
      <c r="N21" s="9">
        <v>9247381001</v>
      </c>
      <c r="O21" s="9" t="s">
        <v>209</v>
      </c>
      <c r="P21" s="11">
        <v>2</v>
      </c>
      <c r="Q21" s="16">
        <v>15.4</v>
      </c>
      <c r="R21" s="16">
        <f t="shared" si="7"/>
        <v>30.8</v>
      </c>
      <c r="S21" s="11"/>
      <c r="T21" s="11"/>
      <c r="U21" s="11"/>
      <c r="V21" s="16"/>
      <c r="W21" s="16"/>
      <c r="X21" s="11"/>
      <c r="Y21" s="11"/>
      <c r="Z21" s="11"/>
      <c r="AA21" s="11"/>
      <c r="AB21" s="11"/>
    </row>
    <row r="22" spans="1:28" x14ac:dyDescent="0.2">
      <c r="A22" s="8">
        <v>11448</v>
      </c>
      <c r="B22" s="11">
        <v>1001</v>
      </c>
      <c r="C22" s="11" t="s">
        <v>61</v>
      </c>
      <c r="D22" s="11" t="s">
        <v>62</v>
      </c>
      <c r="E22" s="11" t="s">
        <v>63</v>
      </c>
      <c r="F22" s="11" t="s">
        <v>67</v>
      </c>
      <c r="G22" s="11" t="s">
        <v>68</v>
      </c>
      <c r="H22" s="11">
        <v>32328</v>
      </c>
      <c r="I22" s="12">
        <v>37711</v>
      </c>
      <c r="J22" s="12">
        <v>37713</v>
      </c>
      <c r="K22" s="11" t="s">
        <v>66</v>
      </c>
      <c r="L22" s="11" t="s">
        <v>67</v>
      </c>
      <c r="M22" s="11" t="s">
        <v>68</v>
      </c>
      <c r="N22" s="9">
        <v>9247381001</v>
      </c>
      <c r="O22" s="9" t="s">
        <v>191</v>
      </c>
      <c r="P22" s="11">
        <v>2</v>
      </c>
      <c r="Q22" s="16">
        <v>15.4</v>
      </c>
      <c r="R22" s="16">
        <f t="shared" si="7"/>
        <v>30.8</v>
      </c>
      <c r="S22" s="11"/>
      <c r="T22" s="11"/>
      <c r="U22" s="11"/>
      <c r="V22" s="16"/>
      <c r="W22" s="16"/>
      <c r="X22" s="11"/>
      <c r="Y22" s="11"/>
      <c r="Z22" s="11"/>
      <c r="AA22" s="11"/>
      <c r="AB22" s="11"/>
    </row>
    <row r="23" spans="1:28" x14ac:dyDescent="0.2">
      <c r="A23" s="8">
        <v>12214</v>
      </c>
      <c r="B23" s="11">
        <v>1001</v>
      </c>
      <c r="C23" s="11" t="s">
        <v>61</v>
      </c>
      <c r="D23" s="11" t="s">
        <v>62</v>
      </c>
      <c r="E23" s="11" t="s">
        <v>63</v>
      </c>
      <c r="F23" s="11" t="s">
        <v>67</v>
      </c>
      <c r="G23" s="11" t="s">
        <v>68</v>
      </c>
      <c r="H23" s="11">
        <v>32328</v>
      </c>
      <c r="I23" s="12">
        <v>37711</v>
      </c>
      <c r="J23" s="12">
        <v>37713</v>
      </c>
      <c r="K23" s="11" t="s">
        <v>66</v>
      </c>
      <c r="L23" s="11" t="s">
        <v>67</v>
      </c>
      <c r="M23" s="11" t="s">
        <v>68</v>
      </c>
      <c r="N23" s="9">
        <v>9247381001</v>
      </c>
      <c r="O23" s="9" t="s">
        <v>209</v>
      </c>
      <c r="P23" s="11">
        <v>2</v>
      </c>
      <c r="Q23" s="16">
        <v>15.4</v>
      </c>
      <c r="R23" s="16">
        <f t="shared" si="7"/>
        <v>30.8</v>
      </c>
      <c r="S23" s="11"/>
      <c r="T23" s="11"/>
      <c r="U23" s="11"/>
      <c r="V23" s="16"/>
      <c r="W23" s="16"/>
      <c r="X23" s="11"/>
      <c r="Y23" s="11"/>
      <c r="Z23" s="11"/>
      <c r="AA23" s="11"/>
      <c r="AB23" s="11"/>
    </row>
    <row r="24" spans="1:28" x14ac:dyDescent="0.2">
      <c r="A24" s="8">
        <v>12441</v>
      </c>
      <c r="B24" s="11">
        <v>1001</v>
      </c>
      <c r="C24" s="11" t="s">
        <v>61</v>
      </c>
      <c r="D24" s="11" t="s">
        <v>62</v>
      </c>
      <c r="E24" s="11" t="s">
        <v>63</v>
      </c>
      <c r="F24" s="11" t="s">
        <v>67</v>
      </c>
      <c r="G24" s="11" t="s">
        <v>68</v>
      </c>
      <c r="H24" s="11">
        <v>32328</v>
      </c>
      <c r="I24" s="12">
        <v>37711</v>
      </c>
      <c r="J24" s="12">
        <v>37713</v>
      </c>
      <c r="K24" s="11" t="s">
        <v>66</v>
      </c>
      <c r="L24" s="11" t="s">
        <v>67</v>
      </c>
      <c r="M24" s="11" t="s">
        <v>68</v>
      </c>
      <c r="N24" s="9">
        <v>9247381001</v>
      </c>
      <c r="O24" s="9" t="s">
        <v>195</v>
      </c>
      <c r="P24" s="11">
        <v>2</v>
      </c>
      <c r="Q24" s="16">
        <v>15.4</v>
      </c>
      <c r="R24" s="16">
        <f t="shared" si="7"/>
        <v>30.8</v>
      </c>
      <c r="S24" s="11"/>
      <c r="T24" s="11"/>
      <c r="U24" s="11"/>
      <c r="V24" s="16"/>
      <c r="W24" s="16"/>
      <c r="X24" s="11"/>
      <c r="Y24" s="11"/>
      <c r="Z24" s="11"/>
      <c r="AA24" s="11"/>
      <c r="AB24" s="11"/>
    </row>
    <row r="25" spans="1:28" x14ac:dyDescent="0.2">
      <c r="A25" s="8">
        <v>12512</v>
      </c>
      <c r="B25" s="11">
        <v>1001</v>
      </c>
      <c r="C25" s="11" t="s">
        <v>61</v>
      </c>
      <c r="D25" s="11" t="s">
        <v>62</v>
      </c>
      <c r="E25" s="11" t="s">
        <v>63</v>
      </c>
      <c r="F25" s="11" t="s">
        <v>67</v>
      </c>
      <c r="G25" s="11" t="s">
        <v>68</v>
      </c>
      <c r="H25" s="11">
        <v>32328</v>
      </c>
      <c r="I25" s="12">
        <v>37711</v>
      </c>
      <c r="J25" s="12">
        <v>37713</v>
      </c>
      <c r="K25" s="11" t="s">
        <v>66</v>
      </c>
      <c r="L25" s="11" t="s">
        <v>67</v>
      </c>
      <c r="M25" s="11" t="s">
        <v>68</v>
      </c>
      <c r="N25" s="9">
        <v>9247381001</v>
      </c>
      <c r="O25" s="9" t="s">
        <v>191</v>
      </c>
      <c r="P25" s="11">
        <v>2</v>
      </c>
      <c r="Q25" s="16">
        <v>15.4</v>
      </c>
      <c r="R25" s="16">
        <f t="shared" si="7"/>
        <v>30.8</v>
      </c>
      <c r="S25" s="9">
        <v>8117949391</v>
      </c>
      <c r="T25" s="9" t="s">
        <v>206</v>
      </c>
      <c r="U25" s="11">
        <v>1</v>
      </c>
      <c r="V25" s="15">
        <v>5.32</v>
      </c>
      <c r="W25" s="15">
        <f t="shared" ref="W25:W26" si="8">U25*V25</f>
        <v>5.32</v>
      </c>
      <c r="X25" s="11"/>
      <c r="Y25" s="11"/>
      <c r="Z25" s="11"/>
      <c r="AA25" s="11"/>
      <c r="AB25" s="11"/>
    </row>
    <row r="26" spans="1:28" x14ac:dyDescent="0.2">
      <c r="A26" s="8">
        <v>13162</v>
      </c>
      <c r="B26" s="11">
        <v>1001</v>
      </c>
      <c r="C26" s="11" t="s">
        <v>61</v>
      </c>
      <c r="D26" s="11" t="s">
        <v>62</v>
      </c>
      <c r="E26" s="11" t="s">
        <v>63</v>
      </c>
      <c r="F26" s="11" t="s">
        <v>67</v>
      </c>
      <c r="G26" s="11" t="s">
        <v>68</v>
      </c>
      <c r="H26" s="11">
        <v>32328</v>
      </c>
      <c r="I26" s="12">
        <v>37711</v>
      </c>
      <c r="J26" s="12">
        <v>37713</v>
      </c>
      <c r="K26" s="11" t="s">
        <v>66</v>
      </c>
      <c r="L26" s="11" t="s">
        <v>67</v>
      </c>
      <c r="M26" s="11" t="s">
        <v>68</v>
      </c>
      <c r="N26" s="9">
        <v>9247381001</v>
      </c>
      <c r="O26" s="9" t="s">
        <v>199</v>
      </c>
      <c r="P26" s="11">
        <v>2</v>
      </c>
      <c r="Q26" s="16">
        <v>15.4</v>
      </c>
      <c r="R26" s="16">
        <f t="shared" si="7"/>
        <v>30.8</v>
      </c>
      <c r="S26" s="9">
        <v>132149871</v>
      </c>
      <c r="T26" s="9" t="s">
        <v>207</v>
      </c>
      <c r="U26" s="11">
        <v>3</v>
      </c>
      <c r="V26" s="15">
        <v>17.850000000000001</v>
      </c>
      <c r="W26" s="15">
        <f t="shared" si="8"/>
        <v>53.550000000000004</v>
      </c>
      <c r="X26" s="11"/>
      <c r="Y26" s="11"/>
      <c r="Z26" s="11"/>
      <c r="AA26" s="11"/>
      <c r="AB26" s="11"/>
    </row>
    <row r="27" spans="1:28" x14ac:dyDescent="0.2">
      <c r="A27" s="8">
        <v>13897</v>
      </c>
      <c r="B27" s="11">
        <v>1001</v>
      </c>
      <c r="C27" s="11" t="s">
        <v>61</v>
      </c>
      <c r="D27" s="11" t="s">
        <v>62</v>
      </c>
      <c r="E27" s="11" t="s">
        <v>63</v>
      </c>
      <c r="F27" s="11" t="s">
        <v>67</v>
      </c>
      <c r="G27" s="11" t="s">
        <v>68</v>
      </c>
      <c r="H27" s="11">
        <v>32328</v>
      </c>
      <c r="I27" s="12">
        <v>37711</v>
      </c>
      <c r="J27" s="12">
        <v>37713</v>
      </c>
      <c r="K27" s="11" t="s">
        <v>66</v>
      </c>
      <c r="L27" s="11" t="s">
        <v>67</v>
      </c>
      <c r="M27" s="11" t="s">
        <v>68</v>
      </c>
      <c r="N27" s="9">
        <v>9247381001</v>
      </c>
      <c r="O27" s="9" t="s">
        <v>201</v>
      </c>
      <c r="P27" s="11">
        <v>2</v>
      </c>
      <c r="Q27" s="16">
        <v>15.4</v>
      </c>
      <c r="R27" s="16">
        <f t="shared" si="7"/>
        <v>30.8</v>
      </c>
      <c r="S27" s="11"/>
      <c r="T27" s="11"/>
      <c r="U27" s="11"/>
      <c r="V27" s="16"/>
      <c r="W27" s="16"/>
      <c r="X27" s="11"/>
      <c r="Y27" s="11"/>
      <c r="Z27" s="11"/>
      <c r="AA27" s="11"/>
      <c r="AB27" s="11"/>
    </row>
    <row r="28" spans="1:28" x14ac:dyDescent="0.2">
      <c r="A28" s="8">
        <v>14440</v>
      </c>
      <c r="B28" s="11">
        <v>1001</v>
      </c>
      <c r="C28" s="11" t="s">
        <v>61</v>
      </c>
      <c r="D28" s="11" t="s">
        <v>62</v>
      </c>
      <c r="E28" s="11" t="s">
        <v>63</v>
      </c>
      <c r="F28" s="11" t="s">
        <v>67</v>
      </c>
      <c r="G28" s="11" t="s">
        <v>68</v>
      </c>
      <c r="H28" s="11">
        <v>32328</v>
      </c>
      <c r="I28" s="12">
        <v>37711</v>
      </c>
      <c r="J28" s="12">
        <v>37713</v>
      </c>
      <c r="K28" s="11" t="s">
        <v>66</v>
      </c>
      <c r="L28" s="11" t="s">
        <v>67</v>
      </c>
      <c r="M28" s="11" t="s">
        <v>68</v>
      </c>
      <c r="N28" s="9">
        <v>9247381001</v>
      </c>
      <c r="O28" s="9" t="s">
        <v>202</v>
      </c>
      <c r="P28" s="11">
        <v>2</v>
      </c>
      <c r="Q28" s="16">
        <v>15.4</v>
      </c>
      <c r="R28" s="16">
        <f t="shared" si="7"/>
        <v>30.8</v>
      </c>
      <c r="S28" s="11"/>
      <c r="T28" s="11"/>
      <c r="U28" s="11"/>
      <c r="V28" s="16"/>
      <c r="W28" s="16"/>
      <c r="X28" s="11"/>
      <c r="Y28" s="11"/>
      <c r="Z28" s="11"/>
      <c r="AA28" s="11"/>
      <c r="AB28" s="11"/>
    </row>
    <row r="29" spans="1:28" x14ac:dyDescent="0.2">
      <c r="A29" s="8">
        <v>14689</v>
      </c>
      <c r="B29" s="11">
        <v>1001</v>
      </c>
      <c r="C29" s="11" t="s">
        <v>61</v>
      </c>
      <c r="D29" s="11" t="s">
        <v>62</v>
      </c>
      <c r="E29" s="11" t="s">
        <v>63</v>
      </c>
      <c r="F29" s="11" t="s">
        <v>67</v>
      </c>
      <c r="G29" s="11" t="s">
        <v>68</v>
      </c>
      <c r="H29" s="11">
        <v>32328</v>
      </c>
      <c r="I29" s="12">
        <v>37711</v>
      </c>
      <c r="J29" s="12">
        <v>37713</v>
      </c>
      <c r="K29" s="11" t="s">
        <v>66</v>
      </c>
      <c r="L29" s="11" t="s">
        <v>67</v>
      </c>
      <c r="M29" s="11" t="s">
        <v>68</v>
      </c>
      <c r="N29" s="9">
        <v>9247381001</v>
      </c>
      <c r="O29" s="9" t="s">
        <v>191</v>
      </c>
      <c r="P29" s="11">
        <v>2</v>
      </c>
      <c r="Q29" s="16">
        <v>15.4</v>
      </c>
      <c r="R29" s="16">
        <f t="shared" si="7"/>
        <v>30.8</v>
      </c>
      <c r="S29" s="11"/>
      <c r="T29" s="11"/>
      <c r="U29" s="11"/>
      <c r="V29" s="16"/>
      <c r="W29" s="16"/>
      <c r="X29" s="9">
        <v>8117949391</v>
      </c>
      <c r="Y29" s="9" t="s">
        <v>206</v>
      </c>
      <c r="Z29" s="11">
        <v>1</v>
      </c>
      <c r="AA29" s="15">
        <v>5.32</v>
      </c>
      <c r="AB29" s="15">
        <f t="shared" ref="AB29:AB30" si="9">Z29*AA29</f>
        <v>5.32</v>
      </c>
    </row>
    <row r="30" spans="1:28" x14ac:dyDescent="0.2">
      <c r="A30" s="8">
        <v>15596</v>
      </c>
      <c r="B30" s="11">
        <v>1001</v>
      </c>
      <c r="C30" s="11" t="s">
        <v>61</v>
      </c>
      <c r="D30" s="11" t="s">
        <v>62</v>
      </c>
      <c r="E30" s="11" t="s">
        <v>63</v>
      </c>
      <c r="F30" s="11" t="s">
        <v>67</v>
      </c>
      <c r="G30" s="11" t="s">
        <v>68</v>
      </c>
      <c r="H30" s="11">
        <v>32328</v>
      </c>
      <c r="I30" s="12">
        <v>37711</v>
      </c>
      <c r="J30" s="12">
        <v>37713</v>
      </c>
      <c r="K30" s="11" t="s">
        <v>66</v>
      </c>
      <c r="L30" s="11" t="s">
        <v>67</v>
      </c>
      <c r="M30" s="11" t="s">
        <v>68</v>
      </c>
      <c r="N30" s="9">
        <v>9247381001</v>
      </c>
      <c r="O30" s="9" t="s">
        <v>202</v>
      </c>
      <c r="P30" s="11">
        <v>2</v>
      </c>
      <c r="Q30" s="16">
        <v>15.4</v>
      </c>
      <c r="R30" s="16">
        <f t="shared" si="7"/>
        <v>30.8</v>
      </c>
      <c r="S30" s="11"/>
      <c r="T30" s="11"/>
      <c r="U30" s="11"/>
      <c r="V30" s="16"/>
      <c r="W30" s="16"/>
      <c r="X30" s="9">
        <v>132149871</v>
      </c>
      <c r="Y30" s="9" t="s">
        <v>207</v>
      </c>
      <c r="Z30" s="11">
        <v>3</v>
      </c>
      <c r="AA30" s="15">
        <v>17.850000000000001</v>
      </c>
      <c r="AB30" s="15">
        <f t="shared" si="9"/>
        <v>53.550000000000004</v>
      </c>
    </row>
    <row r="31" spans="1:28" x14ac:dyDescent="0.2">
      <c r="A31" s="8">
        <v>15691</v>
      </c>
      <c r="B31" s="11">
        <v>1001</v>
      </c>
      <c r="C31" s="11" t="s">
        <v>61</v>
      </c>
      <c r="D31" s="11" t="s">
        <v>62</v>
      </c>
      <c r="E31" s="11" t="s">
        <v>63</v>
      </c>
      <c r="F31" s="11" t="s">
        <v>67</v>
      </c>
      <c r="G31" s="11" t="s">
        <v>68</v>
      </c>
      <c r="H31" s="11">
        <v>32328</v>
      </c>
      <c r="I31" s="12">
        <v>37711</v>
      </c>
      <c r="J31" s="12">
        <v>37713</v>
      </c>
      <c r="K31" s="11" t="s">
        <v>66</v>
      </c>
      <c r="L31" s="11" t="s">
        <v>67</v>
      </c>
      <c r="M31" s="11" t="s">
        <v>68</v>
      </c>
      <c r="N31" s="9">
        <v>9247381001</v>
      </c>
      <c r="O31" s="9" t="s">
        <v>203</v>
      </c>
      <c r="P31" s="11">
        <v>2</v>
      </c>
      <c r="Q31" s="16">
        <v>15.4</v>
      </c>
      <c r="R31" s="16">
        <f t="shared" si="7"/>
        <v>30.8</v>
      </c>
      <c r="S31" s="11"/>
      <c r="T31" s="11"/>
      <c r="U31" s="11"/>
      <c r="V31" s="16"/>
      <c r="W31" s="16"/>
      <c r="X31" s="11"/>
      <c r="Y31" s="11"/>
      <c r="Z31" s="11"/>
      <c r="AA31" s="11"/>
      <c r="AB31" s="11"/>
    </row>
    <row r="32" spans="1:28" x14ac:dyDescent="0.2">
      <c r="A32" s="8">
        <v>16183</v>
      </c>
      <c r="B32" s="11">
        <v>1001</v>
      </c>
      <c r="C32" s="11" t="s">
        <v>61</v>
      </c>
      <c r="D32" s="11" t="s">
        <v>62</v>
      </c>
      <c r="E32" s="11" t="s">
        <v>63</v>
      </c>
      <c r="F32" s="11" t="s">
        <v>67</v>
      </c>
      <c r="G32" s="11" t="s">
        <v>68</v>
      </c>
      <c r="H32" s="11">
        <v>32328</v>
      </c>
      <c r="I32" s="12">
        <v>37711</v>
      </c>
      <c r="J32" s="12">
        <v>37713</v>
      </c>
      <c r="K32" s="11" t="s">
        <v>66</v>
      </c>
      <c r="L32" s="11" t="s">
        <v>67</v>
      </c>
      <c r="M32" s="11" t="s">
        <v>68</v>
      </c>
      <c r="N32" s="9">
        <v>9247381001</v>
      </c>
      <c r="O32" s="9" t="s">
        <v>204</v>
      </c>
      <c r="P32" s="11">
        <v>2</v>
      </c>
      <c r="Q32" s="16">
        <v>15.4</v>
      </c>
      <c r="R32" s="16">
        <f t="shared" si="7"/>
        <v>30.8</v>
      </c>
      <c r="S32" s="9">
        <v>9247381001</v>
      </c>
      <c r="T32" s="9" t="s">
        <v>209</v>
      </c>
      <c r="U32" s="11">
        <v>2</v>
      </c>
      <c r="V32" s="16">
        <v>15.4</v>
      </c>
      <c r="W32" s="16">
        <f t="shared" ref="W32:W33" si="10">U32*V32</f>
        <v>30.8</v>
      </c>
      <c r="X32" s="11"/>
      <c r="Y32" s="11"/>
      <c r="Z32" s="11"/>
      <c r="AA32" s="11"/>
      <c r="AB32" s="11"/>
    </row>
    <row r="33" spans="1:28" x14ac:dyDescent="0.2">
      <c r="A33" s="8">
        <v>16211</v>
      </c>
      <c r="B33" s="11">
        <v>1001</v>
      </c>
      <c r="C33" s="11" t="s">
        <v>61</v>
      </c>
      <c r="D33" s="11" t="s">
        <v>62</v>
      </c>
      <c r="E33" s="11" t="s">
        <v>63</v>
      </c>
      <c r="F33" s="11" t="s">
        <v>67</v>
      </c>
      <c r="G33" s="11" t="s">
        <v>68</v>
      </c>
      <c r="H33" s="11">
        <v>32328</v>
      </c>
      <c r="I33" s="12">
        <v>37711</v>
      </c>
      <c r="J33" s="12">
        <v>37713</v>
      </c>
      <c r="K33" s="11" t="s">
        <v>66</v>
      </c>
      <c r="L33" s="11" t="s">
        <v>67</v>
      </c>
      <c r="M33" s="11" t="s">
        <v>68</v>
      </c>
      <c r="N33" s="9">
        <v>9247381001</v>
      </c>
      <c r="O33" s="9" t="s">
        <v>205</v>
      </c>
      <c r="P33" s="11">
        <v>2</v>
      </c>
      <c r="Q33" s="16">
        <v>15.4</v>
      </c>
      <c r="R33" s="16">
        <f t="shared" si="7"/>
        <v>30.8</v>
      </c>
      <c r="S33" s="9">
        <v>9247381001</v>
      </c>
      <c r="T33" s="9" t="s">
        <v>195</v>
      </c>
      <c r="U33" s="11">
        <v>2</v>
      </c>
      <c r="V33" s="16">
        <v>15.4</v>
      </c>
      <c r="W33" s="16">
        <f t="shared" si="10"/>
        <v>30.8</v>
      </c>
      <c r="X33" s="11"/>
      <c r="Y33" s="11"/>
      <c r="Z33" s="11"/>
      <c r="AA33" s="11"/>
      <c r="AB33" s="11"/>
    </row>
    <row r="34" spans="1:28" x14ac:dyDescent="0.2">
      <c r="A34" s="8">
        <v>16444</v>
      </c>
      <c r="B34" s="11">
        <v>1001</v>
      </c>
      <c r="C34" s="11" t="s">
        <v>61</v>
      </c>
      <c r="D34" s="11" t="s">
        <v>62</v>
      </c>
      <c r="E34" s="11" t="s">
        <v>63</v>
      </c>
      <c r="F34" s="11" t="s">
        <v>67</v>
      </c>
      <c r="G34" s="11" t="s">
        <v>68</v>
      </c>
      <c r="H34" s="11">
        <v>32328</v>
      </c>
      <c r="I34" s="12">
        <v>37711</v>
      </c>
      <c r="J34" s="12">
        <v>37713</v>
      </c>
      <c r="K34" s="11" t="s">
        <v>66</v>
      </c>
      <c r="L34" s="11" t="s">
        <v>67</v>
      </c>
      <c r="M34" s="11" t="s">
        <v>68</v>
      </c>
      <c r="N34" s="9">
        <v>9247381001</v>
      </c>
      <c r="O34" s="9" t="s">
        <v>202</v>
      </c>
      <c r="P34" s="11">
        <v>2</v>
      </c>
      <c r="Q34" s="16">
        <v>15.4</v>
      </c>
      <c r="R34" s="16">
        <f t="shared" si="7"/>
        <v>30.8</v>
      </c>
      <c r="S34" s="11"/>
      <c r="T34" s="11"/>
      <c r="U34" s="11"/>
      <c r="V34" s="16"/>
      <c r="W34" s="16"/>
      <c r="X34" s="11"/>
      <c r="Y34" s="11"/>
      <c r="Z34" s="11"/>
      <c r="AA34" s="11"/>
      <c r="AB34" s="11"/>
    </row>
    <row r="35" spans="1:28" x14ac:dyDescent="0.2">
      <c r="A35" s="8">
        <v>17524</v>
      </c>
      <c r="B35" s="11">
        <v>1001</v>
      </c>
      <c r="C35" s="11" t="s">
        <v>61</v>
      </c>
      <c r="D35" s="11" t="s">
        <v>62</v>
      </c>
      <c r="E35" s="11" t="s">
        <v>63</v>
      </c>
      <c r="F35" s="11" t="s">
        <v>67</v>
      </c>
      <c r="G35" s="11" t="s">
        <v>68</v>
      </c>
      <c r="H35" s="11">
        <v>32328</v>
      </c>
      <c r="I35" s="12">
        <v>37711</v>
      </c>
      <c r="J35" s="12">
        <v>37713</v>
      </c>
      <c r="K35" s="11" t="s">
        <v>66</v>
      </c>
      <c r="L35" s="11" t="s">
        <v>67</v>
      </c>
      <c r="M35" s="11" t="s">
        <v>68</v>
      </c>
      <c r="N35" s="9">
        <v>9247381001</v>
      </c>
      <c r="O35" s="9" t="s">
        <v>195</v>
      </c>
      <c r="P35" s="11">
        <v>2</v>
      </c>
      <c r="Q35" s="16">
        <v>15.4</v>
      </c>
      <c r="R35" s="16">
        <f t="shared" si="7"/>
        <v>30.8</v>
      </c>
      <c r="S35" s="11"/>
      <c r="T35" s="11"/>
      <c r="U35" s="11"/>
      <c r="V35" s="16"/>
      <c r="W35" s="16"/>
      <c r="X35" s="11"/>
      <c r="Y35" s="11"/>
      <c r="Z35" s="11"/>
      <c r="AA35" s="11"/>
      <c r="AB35" s="11"/>
    </row>
    <row r="36" spans="1:28" x14ac:dyDescent="0.2">
      <c r="A36" s="8">
        <v>18303</v>
      </c>
      <c r="B36" s="11">
        <v>1001</v>
      </c>
      <c r="C36" s="11" t="s">
        <v>61</v>
      </c>
      <c r="D36" s="11" t="s">
        <v>62</v>
      </c>
      <c r="E36" s="11" t="s">
        <v>63</v>
      </c>
      <c r="F36" s="11" t="s">
        <v>67</v>
      </c>
      <c r="G36" s="11" t="s">
        <v>68</v>
      </c>
      <c r="H36" s="11">
        <v>32328</v>
      </c>
      <c r="I36" s="12">
        <v>37711</v>
      </c>
      <c r="J36" s="12">
        <v>37713</v>
      </c>
      <c r="K36" s="11" t="s">
        <v>66</v>
      </c>
      <c r="L36" s="11" t="s">
        <v>67</v>
      </c>
      <c r="M36" s="11" t="s">
        <v>68</v>
      </c>
      <c r="N36" s="9">
        <v>9247381001</v>
      </c>
      <c r="O36" s="9" t="s">
        <v>191</v>
      </c>
      <c r="P36" s="11">
        <v>2</v>
      </c>
      <c r="Q36" s="16">
        <v>15.4</v>
      </c>
      <c r="R36" s="16">
        <f t="shared" si="7"/>
        <v>30.8</v>
      </c>
      <c r="S36" s="11"/>
      <c r="T36" s="11"/>
      <c r="U36" s="11"/>
      <c r="V36" s="16"/>
      <c r="W36" s="16"/>
      <c r="X36" s="11"/>
      <c r="Y36" s="11"/>
      <c r="Z36" s="11"/>
      <c r="AA36" s="11"/>
      <c r="AB36" s="11"/>
    </row>
    <row r="37" spans="1:28" x14ac:dyDescent="0.2">
      <c r="A37" s="8">
        <v>18528</v>
      </c>
      <c r="B37" s="11">
        <v>1001</v>
      </c>
      <c r="C37" s="11" t="s">
        <v>61</v>
      </c>
      <c r="D37" s="11" t="s">
        <v>62</v>
      </c>
      <c r="E37" s="11" t="s">
        <v>63</v>
      </c>
      <c r="F37" s="11" t="s">
        <v>67</v>
      </c>
      <c r="G37" s="11" t="s">
        <v>68</v>
      </c>
      <c r="H37" s="11">
        <v>32328</v>
      </c>
      <c r="I37" s="12">
        <v>37711</v>
      </c>
      <c r="J37" s="12">
        <v>37713</v>
      </c>
      <c r="K37" s="11" t="s">
        <v>66</v>
      </c>
      <c r="L37" s="11" t="s">
        <v>67</v>
      </c>
      <c r="M37" s="11" t="s">
        <v>68</v>
      </c>
      <c r="N37" s="9">
        <v>9247381001</v>
      </c>
      <c r="O37" s="9" t="s">
        <v>199</v>
      </c>
      <c r="P37" s="11">
        <v>2</v>
      </c>
      <c r="Q37" s="16">
        <v>15.4</v>
      </c>
      <c r="R37" s="16">
        <f t="shared" si="7"/>
        <v>30.8</v>
      </c>
      <c r="S37" s="11"/>
      <c r="T37" s="11"/>
      <c r="U37" s="11"/>
      <c r="V37" s="16"/>
      <c r="W37" s="16"/>
      <c r="X37" s="11"/>
      <c r="Y37" s="11"/>
      <c r="Z37" s="11"/>
      <c r="AA37" s="11"/>
      <c r="AB37" s="11"/>
    </row>
    <row r="38" spans="1:28" x14ac:dyDescent="0.2">
      <c r="A38" s="8">
        <v>19687</v>
      </c>
      <c r="B38" s="11">
        <v>1001</v>
      </c>
      <c r="C38" s="11" t="s">
        <v>61</v>
      </c>
      <c r="D38" s="11" t="s">
        <v>62</v>
      </c>
      <c r="E38" s="11" t="s">
        <v>63</v>
      </c>
      <c r="F38" s="11" t="s">
        <v>67</v>
      </c>
      <c r="G38" s="11" t="s">
        <v>68</v>
      </c>
      <c r="H38" s="11">
        <v>32328</v>
      </c>
      <c r="I38" s="12">
        <v>37711</v>
      </c>
      <c r="J38" s="12">
        <v>37713</v>
      </c>
      <c r="K38" s="11" t="s">
        <v>66</v>
      </c>
      <c r="L38" s="11" t="s">
        <v>67</v>
      </c>
      <c r="M38" s="11" t="s">
        <v>68</v>
      </c>
      <c r="N38" s="9">
        <v>9247381001</v>
      </c>
      <c r="O38" s="9" t="s">
        <v>201</v>
      </c>
      <c r="P38" s="11">
        <v>2</v>
      </c>
      <c r="Q38" s="16">
        <v>15.4</v>
      </c>
      <c r="R38" s="16">
        <f t="shared" si="7"/>
        <v>30.8</v>
      </c>
      <c r="S38" s="11"/>
      <c r="T38" s="11"/>
      <c r="U38" s="11"/>
      <c r="V38" s="16"/>
      <c r="W38" s="16"/>
      <c r="X38" s="11"/>
      <c r="Y38" s="11"/>
      <c r="Z38" s="11"/>
      <c r="AA38" s="11"/>
      <c r="AB38" s="11"/>
    </row>
    <row r="39" spans="1:28" x14ac:dyDescent="0.2">
      <c r="A39" s="8">
        <v>19740</v>
      </c>
      <c r="B39" s="11">
        <v>1001</v>
      </c>
      <c r="C39" s="11" t="s">
        <v>61</v>
      </c>
      <c r="D39" s="11" t="s">
        <v>62</v>
      </c>
      <c r="E39" s="11" t="s">
        <v>63</v>
      </c>
      <c r="F39" s="11" t="s">
        <v>67</v>
      </c>
      <c r="G39" s="11" t="s">
        <v>68</v>
      </c>
      <c r="H39" s="11">
        <v>32328</v>
      </c>
      <c r="I39" s="12">
        <v>37711</v>
      </c>
      <c r="J39" s="12">
        <v>37713</v>
      </c>
      <c r="K39" s="11" t="s">
        <v>66</v>
      </c>
      <c r="L39" s="11" t="s">
        <v>67</v>
      </c>
      <c r="M39" s="11" t="s">
        <v>68</v>
      </c>
      <c r="N39" s="9">
        <v>9247381001</v>
      </c>
      <c r="O39" s="9" t="s">
        <v>202</v>
      </c>
      <c r="P39" s="11">
        <v>2</v>
      </c>
      <c r="Q39" s="16">
        <v>15.4</v>
      </c>
      <c r="R39" s="16">
        <f t="shared" si="7"/>
        <v>30.8</v>
      </c>
      <c r="S39" s="11"/>
      <c r="T39" s="11"/>
      <c r="U39" s="11"/>
      <c r="V39" s="16"/>
      <c r="W39" s="16"/>
      <c r="X39" s="11"/>
      <c r="Y39" s="11"/>
      <c r="Z39" s="11"/>
      <c r="AA39" s="11"/>
      <c r="AB39" s="11"/>
    </row>
    <row r="40" spans="1:28" x14ac:dyDescent="0.2">
      <c r="A40" s="8">
        <v>20950</v>
      </c>
      <c r="B40" s="11">
        <v>1001</v>
      </c>
      <c r="C40" s="11" t="s">
        <v>61</v>
      </c>
      <c r="D40" s="11" t="s">
        <v>62</v>
      </c>
      <c r="E40" s="11" t="s">
        <v>63</v>
      </c>
      <c r="F40" s="11" t="s">
        <v>67</v>
      </c>
      <c r="G40" s="11" t="s">
        <v>68</v>
      </c>
      <c r="H40" s="11">
        <v>32328</v>
      </c>
      <c r="I40" s="12">
        <v>37711</v>
      </c>
      <c r="J40" s="12">
        <v>37713</v>
      </c>
      <c r="K40" s="11" t="s">
        <v>66</v>
      </c>
      <c r="L40" s="11" t="s">
        <v>67</v>
      </c>
      <c r="M40" s="11" t="s">
        <v>68</v>
      </c>
      <c r="N40" s="9">
        <v>9247381001</v>
      </c>
      <c r="O40" s="9" t="s">
        <v>191</v>
      </c>
      <c r="P40" s="11">
        <v>2</v>
      </c>
      <c r="Q40" s="16">
        <v>15.4</v>
      </c>
      <c r="R40" s="16">
        <f t="shared" si="7"/>
        <v>30.8</v>
      </c>
      <c r="S40" s="11"/>
      <c r="T40" s="11"/>
      <c r="U40" s="11"/>
      <c r="V40" s="16"/>
      <c r="W40" s="16"/>
      <c r="X40" s="11"/>
      <c r="Y40" s="11"/>
      <c r="Z40" s="11"/>
      <c r="AA40" s="11"/>
      <c r="AB40" s="11"/>
    </row>
    <row r="41" spans="1:28" x14ac:dyDescent="0.2">
      <c r="A41" s="8">
        <v>21769</v>
      </c>
      <c r="B41" s="11">
        <v>1001</v>
      </c>
      <c r="C41" s="11" t="s">
        <v>61</v>
      </c>
      <c r="D41" s="11" t="s">
        <v>62</v>
      </c>
      <c r="E41" s="11" t="s">
        <v>63</v>
      </c>
      <c r="F41" s="11" t="s">
        <v>67</v>
      </c>
      <c r="G41" s="11" t="s">
        <v>68</v>
      </c>
      <c r="H41" s="11">
        <v>32328</v>
      </c>
      <c r="I41" s="12">
        <v>37711</v>
      </c>
      <c r="J41" s="12">
        <v>37713</v>
      </c>
      <c r="K41" s="11" t="s">
        <v>66</v>
      </c>
      <c r="L41" s="11" t="s">
        <v>67</v>
      </c>
      <c r="M41" s="11" t="s">
        <v>68</v>
      </c>
      <c r="N41" s="9">
        <v>9247381001</v>
      </c>
      <c r="O41" s="9" t="s">
        <v>202</v>
      </c>
      <c r="P41" s="11">
        <v>2</v>
      </c>
      <c r="Q41" s="16">
        <v>15.4</v>
      </c>
      <c r="R41" s="16">
        <f t="shared" si="7"/>
        <v>30.8</v>
      </c>
      <c r="S41" s="11"/>
      <c r="T41" s="11"/>
      <c r="U41" s="11"/>
      <c r="V41" s="16"/>
      <c r="W41" s="16"/>
      <c r="X41" s="11"/>
      <c r="Y41" s="11"/>
      <c r="Z41" s="11"/>
      <c r="AA41" s="11"/>
      <c r="AB41" s="11"/>
    </row>
    <row r="42" spans="1:28" x14ac:dyDescent="0.2">
      <c r="A42" s="8">
        <v>21878</v>
      </c>
      <c r="B42" s="11">
        <v>1001</v>
      </c>
      <c r="C42" s="11" t="s">
        <v>61</v>
      </c>
      <c r="D42" s="11" t="s">
        <v>62</v>
      </c>
      <c r="E42" s="11" t="s">
        <v>63</v>
      </c>
      <c r="F42" s="11" t="s">
        <v>67</v>
      </c>
      <c r="G42" s="11" t="s">
        <v>68</v>
      </c>
      <c r="H42" s="11">
        <v>32328</v>
      </c>
      <c r="I42" s="12">
        <v>37711</v>
      </c>
      <c r="J42" s="12">
        <v>37713</v>
      </c>
      <c r="K42" s="11" t="s">
        <v>66</v>
      </c>
      <c r="L42" s="11" t="s">
        <v>67</v>
      </c>
      <c r="M42" s="11" t="s">
        <v>68</v>
      </c>
      <c r="N42" s="9">
        <v>9247381001</v>
      </c>
      <c r="O42" s="9" t="s">
        <v>203</v>
      </c>
      <c r="P42" s="11">
        <v>2</v>
      </c>
      <c r="Q42" s="16">
        <v>15.4</v>
      </c>
      <c r="R42" s="16">
        <f t="shared" si="7"/>
        <v>30.8</v>
      </c>
      <c r="S42" s="11"/>
      <c r="T42" s="11"/>
      <c r="U42" s="11"/>
      <c r="V42" s="16"/>
      <c r="W42" s="16"/>
      <c r="X42" s="11"/>
      <c r="Y42" s="11"/>
      <c r="Z42" s="11"/>
      <c r="AA42" s="11"/>
      <c r="AB42" s="11"/>
    </row>
    <row r="43" spans="1:28" x14ac:dyDescent="0.2">
      <c r="A43" s="8">
        <v>21898</v>
      </c>
      <c r="B43" s="11">
        <v>1001</v>
      </c>
      <c r="C43" s="11" t="s">
        <v>61</v>
      </c>
      <c r="D43" s="11" t="s">
        <v>62</v>
      </c>
      <c r="E43" s="11" t="s">
        <v>63</v>
      </c>
      <c r="F43" s="11" t="s">
        <v>67</v>
      </c>
      <c r="G43" s="11" t="s">
        <v>68</v>
      </c>
      <c r="H43" s="11">
        <v>32328</v>
      </c>
      <c r="I43" s="12">
        <v>37711</v>
      </c>
      <c r="J43" s="12">
        <v>37713</v>
      </c>
      <c r="K43" s="11" t="s">
        <v>66</v>
      </c>
      <c r="L43" s="11" t="s">
        <v>67</v>
      </c>
      <c r="M43" s="11" t="s">
        <v>68</v>
      </c>
      <c r="N43" s="9">
        <v>9247381001</v>
      </c>
      <c r="O43" s="9" t="s">
        <v>204</v>
      </c>
      <c r="P43" s="11">
        <v>2</v>
      </c>
      <c r="Q43" s="16">
        <v>15.4</v>
      </c>
      <c r="R43" s="16">
        <f t="shared" si="7"/>
        <v>30.8</v>
      </c>
      <c r="S43" s="11"/>
      <c r="T43" s="11"/>
      <c r="U43" s="11"/>
      <c r="V43" s="16"/>
      <c r="W43" s="16"/>
      <c r="X43" s="11"/>
      <c r="Y43" s="11"/>
      <c r="Z43" s="11"/>
      <c r="AA43" s="11"/>
      <c r="AB43" s="11"/>
    </row>
    <row r="44" spans="1:28" x14ac:dyDescent="0.2">
      <c r="A44" s="8">
        <v>22535</v>
      </c>
      <c r="B44" s="11">
        <v>1001</v>
      </c>
      <c r="C44" s="11" t="s">
        <v>61</v>
      </c>
      <c r="D44" s="11" t="s">
        <v>62</v>
      </c>
      <c r="E44" s="11" t="s">
        <v>63</v>
      </c>
      <c r="F44" s="11" t="s">
        <v>67</v>
      </c>
      <c r="G44" s="11" t="s">
        <v>68</v>
      </c>
      <c r="H44" s="11">
        <v>32328</v>
      </c>
      <c r="I44" s="12">
        <v>37711</v>
      </c>
      <c r="J44" s="12">
        <v>37713</v>
      </c>
      <c r="K44" s="11" t="s">
        <v>66</v>
      </c>
      <c r="L44" s="11" t="s">
        <v>67</v>
      </c>
      <c r="M44" s="11" t="s">
        <v>68</v>
      </c>
      <c r="N44" s="9">
        <v>9247381001</v>
      </c>
      <c r="O44" s="9" t="s">
        <v>205</v>
      </c>
      <c r="P44" s="11">
        <v>2</v>
      </c>
      <c r="Q44" s="16">
        <v>15.4</v>
      </c>
      <c r="R44" s="16">
        <f t="shared" si="7"/>
        <v>30.8</v>
      </c>
      <c r="S44" s="11"/>
      <c r="T44" s="11"/>
      <c r="U44" s="11"/>
      <c r="V44" s="16"/>
      <c r="W44" s="16"/>
      <c r="X44" s="11"/>
      <c r="Y44" s="11"/>
      <c r="Z44" s="11"/>
      <c r="AA44" s="11"/>
      <c r="AB44" s="11"/>
    </row>
    <row r="45" spans="1:28" x14ac:dyDescent="0.2">
      <c r="A45" s="8">
        <v>23416</v>
      </c>
      <c r="B45" s="11">
        <v>1001</v>
      </c>
      <c r="C45" s="11" t="s">
        <v>61</v>
      </c>
      <c r="D45" s="11" t="s">
        <v>62</v>
      </c>
      <c r="E45" s="11" t="s">
        <v>63</v>
      </c>
      <c r="F45" s="11" t="s">
        <v>67</v>
      </c>
      <c r="G45" s="11" t="s">
        <v>68</v>
      </c>
      <c r="H45" s="11">
        <v>32328</v>
      </c>
      <c r="I45" s="12">
        <v>37711</v>
      </c>
      <c r="J45" s="12">
        <v>37713</v>
      </c>
      <c r="K45" s="11" t="s">
        <v>66</v>
      </c>
      <c r="L45" s="11" t="s">
        <v>67</v>
      </c>
      <c r="M45" s="11" t="s">
        <v>68</v>
      </c>
      <c r="N45" s="9">
        <v>9247381001</v>
      </c>
      <c r="O45" s="9" t="s">
        <v>202</v>
      </c>
      <c r="P45" s="11">
        <v>2</v>
      </c>
      <c r="Q45" s="16">
        <v>15.4</v>
      </c>
      <c r="R45" s="16">
        <f t="shared" si="7"/>
        <v>30.8</v>
      </c>
      <c r="S45" s="11"/>
      <c r="T45" s="11"/>
      <c r="U45" s="11"/>
      <c r="V45" s="16"/>
      <c r="W45" s="16"/>
      <c r="X45" s="11"/>
      <c r="Y45" s="11"/>
      <c r="Z45" s="11"/>
      <c r="AA45" s="11"/>
      <c r="AB45" s="11"/>
    </row>
    <row r="46" spans="1:28" ht="15" x14ac:dyDescent="0.25">
      <c r="O46"/>
    </row>
    <row r="47" spans="1:28" ht="15" x14ac:dyDescent="0.25">
      <c r="O47"/>
    </row>
    <row r="48" spans="1:28" ht="15" x14ac:dyDescent="0.25">
      <c r="O48"/>
    </row>
    <row r="49" spans="15:15" ht="15" x14ac:dyDescent="0.25">
      <c r="O49"/>
    </row>
    <row r="50" spans="15:15" ht="15" x14ac:dyDescent="0.25">
      <c r="O50"/>
    </row>
    <row r="51" spans="15:15" ht="15" x14ac:dyDescent="0.25">
      <c r="O51"/>
    </row>
    <row r="52" spans="15:15" ht="15" x14ac:dyDescent="0.25">
      <c r="O52"/>
    </row>
  </sheetData>
  <sortState ref="A17:A42">
    <sortCondition ref="A21"/>
  </sortState>
  <mergeCells count="1">
    <mergeCell ref="B2:N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Q66"/>
  <sheetViews>
    <sheetView showGridLines="0" topLeftCell="A31" workbookViewId="0">
      <selection activeCell="B35" sqref="B35"/>
    </sheetView>
  </sheetViews>
  <sheetFormatPr defaultRowHeight="12" x14ac:dyDescent="0.2"/>
  <cols>
    <col min="1" max="2" width="11.28515625" style="8" bestFit="1" customWidth="1"/>
    <col min="3" max="3" width="10.85546875" style="8" bestFit="1" customWidth="1"/>
    <col min="4" max="4" width="18" style="8" bestFit="1" customWidth="1"/>
    <col min="5" max="5" width="12.42578125" style="8" bestFit="1" customWidth="1"/>
    <col min="6" max="6" width="6.7109375" style="8" bestFit="1" customWidth="1"/>
    <col min="7" max="7" width="5.28515625" style="8" bestFit="1" customWidth="1"/>
    <col min="8" max="8" width="10.85546875" style="8" bestFit="1" customWidth="1"/>
    <col min="9" max="9" width="27.28515625" style="8" customWidth="1"/>
    <col min="10" max="10" width="11.85546875" style="8" bestFit="1" customWidth="1"/>
    <col min="11" max="12" width="11.42578125" style="8" bestFit="1" customWidth="1"/>
    <col min="13" max="13" width="9.7109375" style="8" bestFit="1" customWidth="1"/>
    <col min="14" max="14" width="19.140625" style="8" bestFit="1" customWidth="1"/>
    <col min="15" max="15" width="11.7109375" style="8" bestFit="1" customWidth="1"/>
    <col min="16" max="16" width="10.140625" style="8" bestFit="1" customWidth="1"/>
    <col min="17" max="17" width="8" style="8" bestFit="1" customWidth="1"/>
    <col min="18" max="16384" width="9.140625" style="8"/>
  </cols>
  <sheetData>
    <row r="2" spans="1:17" ht="18.75" x14ac:dyDescent="0.2">
      <c r="B2" s="26" t="s">
        <v>223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5" spans="1:17" x14ac:dyDescent="0.2">
      <c r="A5" s="27" t="s">
        <v>44</v>
      </c>
      <c r="B5" s="27"/>
      <c r="C5" s="27"/>
      <c r="D5" s="27"/>
      <c r="E5" s="27"/>
      <c r="F5" s="27"/>
      <c r="G5" s="27"/>
      <c r="H5" s="27"/>
      <c r="J5" s="27" t="s">
        <v>45</v>
      </c>
      <c r="K5" s="27"/>
      <c r="L5" s="27"/>
      <c r="M5" s="27"/>
      <c r="N5" s="27"/>
      <c r="O5" s="27"/>
      <c r="P5" s="27"/>
      <c r="Q5" s="27"/>
    </row>
    <row r="6" spans="1:17" x14ac:dyDescent="0.2">
      <c r="A6" s="9" t="s">
        <v>46</v>
      </c>
      <c r="B6" s="9" t="s">
        <v>47</v>
      </c>
      <c r="C6" s="9" t="s">
        <v>48</v>
      </c>
      <c r="D6" s="9" t="s">
        <v>49</v>
      </c>
      <c r="E6" s="9" t="s">
        <v>50</v>
      </c>
      <c r="F6" s="9" t="s">
        <v>51</v>
      </c>
      <c r="G6" s="9" t="s">
        <v>52</v>
      </c>
      <c r="H6" s="9" t="s">
        <v>53</v>
      </c>
      <c r="I6" s="10"/>
      <c r="J6" s="9" t="s">
        <v>54</v>
      </c>
      <c r="K6" s="9" t="s">
        <v>46</v>
      </c>
      <c r="L6" s="9" t="s">
        <v>55</v>
      </c>
      <c r="M6" s="9" t="s">
        <v>56</v>
      </c>
      <c r="N6" s="9" t="s">
        <v>57</v>
      </c>
      <c r="O6" s="9" t="s">
        <v>58</v>
      </c>
      <c r="P6" s="9" t="s">
        <v>59</v>
      </c>
      <c r="Q6" s="9" t="s">
        <v>60</v>
      </c>
    </row>
    <row r="7" spans="1:17" x14ac:dyDescent="0.2">
      <c r="A7" s="20">
        <v>1001</v>
      </c>
      <c r="B7" s="11" t="s">
        <v>61</v>
      </c>
      <c r="C7" s="11" t="s">
        <v>62</v>
      </c>
      <c r="D7" s="11" t="s">
        <v>63</v>
      </c>
      <c r="E7" s="11" t="s">
        <v>64</v>
      </c>
      <c r="F7" s="11" t="s">
        <v>65</v>
      </c>
      <c r="G7" s="11">
        <v>32328</v>
      </c>
      <c r="H7" s="11"/>
      <c r="J7" s="21">
        <v>1000</v>
      </c>
      <c r="K7" s="20">
        <v>1005</v>
      </c>
      <c r="L7" s="12">
        <v>37711</v>
      </c>
      <c r="M7" s="12">
        <v>37713</v>
      </c>
      <c r="N7" s="11" t="s">
        <v>66</v>
      </c>
      <c r="O7" s="11" t="s">
        <v>67</v>
      </c>
      <c r="P7" s="11" t="s">
        <v>68</v>
      </c>
      <c r="Q7" s="11"/>
    </row>
    <row r="8" spans="1:17" x14ac:dyDescent="0.2">
      <c r="A8" s="20">
        <v>1002</v>
      </c>
      <c r="B8" s="11" t="s">
        <v>69</v>
      </c>
      <c r="C8" s="11" t="s">
        <v>70</v>
      </c>
      <c r="D8" s="11" t="s">
        <v>71</v>
      </c>
      <c r="E8" s="11" t="s">
        <v>72</v>
      </c>
      <c r="F8" s="11" t="s">
        <v>73</v>
      </c>
      <c r="G8" s="11">
        <v>90404</v>
      </c>
      <c r="H8" s="11"/>
      <c r="J8" s="21">
        <v>1001</v>
      </c>
      <c r="K8" s="20">
        <v>1010</v>
      </c>
      <c r="L8" s="12">
        <v>37711</v>
      </c>
      <c r="M8" s="12">
        <v>37712</v>
      </c>
      <c r="N8" s="11" t="s">
        <v>74</v>
      </c>
      <c r="O8" s="11" t="s">
        <v>75</v>
      </c>
      <c r="P8" s="11" t="s">
        <v>76</v>
      </c>
      <c r="Q8" s="11"/>
    </row>
    <row r="9" spans="1:17" x14ac:dyDescent="0.2">
      <c r="A9" s="20">
        <v>1003</v>
      </c>
      <c r="B9" s="11" t="s">
        <v>77</v>
      </c>
      <c r="C9" s="11" t="s">
        <v>78</v>
      </c>
      <c r="D9" s="11" t="s">
        <v>79</v>
      </c>
      <c r="E9" s="11" t="s">
        <v>80</v>
      </c>
      <c r="F9" s="11" t="s">
        <v>65</v>
      </c>
      <c r="G9" s="11">
        <v>32306</v>
      </c>
      <c r="H9" s="11"/>
      <c r="J9" s="21">
        <v>1002</v>
      </c>
      <c r="K9" s="20">
        <v>1011</v>
      </c>
      <c r="L9" s="12">
        <v>37711</v>
      </c>
      <c r="M9" s="12">
        <v>37712</v>
      </c>
      <c r="N9" s="11" t="s">
        <v>81</v>
      </c>
      <c r="O9" s="11" t="s">
        <v>82</v>
      </c>
      <c r="P9" s="11" t="s">
        <v>83</v>
      </c>
      <c r="Q9" s="11"/>
    </row>
    <row r="10" spans="1:17" x14ac:dyDescent="0.2">
      <c r="A10" s="20">
        <v>1004</v>
      </c>
      <c r="B10" s="11" t="s">
        <v>84</v>
      </c>
      <c r="C10" s="11" t="s">
        <v>85</v>
      </c>
      <c r="D10" s="11" t="s">
        <v>86</v>
      </c>
      <c r="E10" s="11" t="s">
        <v>87</v>
      </c>
      <c r="F10" s="11" t="s">
        <v>88</v>
      </c>
      <c r="G10" s="11">
        <v>83707</v>
      </c>
      <c r="H10" s="11"/>
      <c r="J10" s="21">
        <v>1003</v>
      </c>
      <c r="K10" s="20">
        <v>1001</v>
      </c>
      <c r="L10" s="12">
        <v>37712</v>
      </c>
      <c r="M10" s="12">
        <v>37712</v>
      </c>
      <c r="N10" s="11" t="s">
        <v>89</v>
      </c>
      <c r="O10" s="11" t="s">
        <v>64</v>
      </c>
      <c r="P10" s="11" t="s">
        <v>65</v>
      </c>
      <c r="Q10" s="11"/>
    </row>
    <row r="11" spans="1:17" x14ac:dyDescent="0.2">
      <c r="A11" s="20">
        <v>1005</v>
      </c>
      <c r="B11" s="11" t="s">
        <v>90</v>
      </c>
      <c r="C11" s="11" t="s">
        <v>91</v>
      </c>
      <c r="D11" s="11" t="s">
        <v>92</v>
      </c>
      <c r="E11" s="11" t="s">
        <v>67</v>
      </c>
      <c r="F11" s="11" t="s">
        <v>68</v>
      </c>
      <c r="G11" s="11">
        <v>98115</v>
      </c>
      <c r="H11" s="11"/>
      <c r="J11" s="21">
        <v>1004</v>
      </c>
      <c r="K11" s="20">
        <v>1020</v>
      </c>
      <c r="L11" s="12">
        <v>37712</v>
      </c>
      <c r="M11" s="12">
        <v>37716</v>
      </c>
      <c r="N11" s="11" t="s">
        <v>93</v>
      </c>
      <c r="O11" s="11" t="s">
        <v>94</v>
      </c>
      <c r="P11" s="11" t="s">
        <v>95</v>
      </c>
      <c r="Q11" s="11"/>
    </row>
    <row r="12" spans="1:17" x14ac:dyDescent="0.2">
      <c r="A12" s="20">
        <v>1006</v>
      </c>
      <c r="B12" s="11" t="s">
        <v>96</v>
      </c>
      <c r="C12" s="11" t="s">
        <v>97</v>
      </c>
      <c r="D12" s="11" t="s">
        <v>98</v>
      </c>
      <c r="E12" s="11" t="s">
        <v>99</v>
      </c>
      <c r="F12" s="11" t="s">
        <v>100</v>
      </c>
      <c r="G12" s="11">
        <v>12211</v>
      </c>
      <c r="H12" s="11"/>
      <c r="J12" s="21">
        <v>1005</v>
      </c>
      <c r="K12" s="20">
        <v>1018</v>
      </c>
      <c r="L12" s="12">
        <v>37712</v>
      </c>
      <c r="M12" s="12">
        <v>37713</v>
      </c>
      <c r="N12" s="11" t="s">
        <v>101</v>
      </c>
      <c r="O12" s="11" t="s">
        <v>102</v>
      </c>
      <c r="P12" s="11" t="s">
        <v>76</v>
      </c>
      <c r="Q12" s="11"/>
    </row>
    <row r="13" spans="1:17" x14ac:dyDescent="0.2">
      <c r="A13" s="20">
        <v>1007</v>
      </c>
      <c r="B13" s="11" t="s">
        <v>103</v>
      </c>
      <c r="C13" s="11" t="s">
        <v>104</v>
      </c>
      <c r="D13" s="11" t="s">
        <v>105</v>
      </c>
      <c r="E13" s="11" t="s">
        <v>106</v>
      </c>
      <c r="F13" s="11" t="s">
        <v>107</v>
      </c>
      <c r="G13" s="11">
        <v>78710</v>
      </c>
      <c r="H13" s="11">
        <v>1003</v>
      </c>
      <c r="J13" s="21">
        <v>1006</v>
      </c>
      <c r="K13" s="20">
        <v>1003</v>
      </c>
      <c r="L13" s="12">
        <v>37712</v>
      </c>
      <c r="M13" s="12">
        <v>37713</v>
      </c>
      <c r="N13" s="11" t="s">
        <v>108</v>
      </c>
      <c r="O13" s="11" t="s">
        <v>80</v>
      </c>
      <c r="P13" s="11" t="s">
        <v>65</v>
      </c>
      <c r="Q13" s="11"/>
    </row>
    <row r="14" spans="1:17" x14ac:dyDescent="0.2">
      <c r="A14" s="20">
        <v>1008</v>
      </c>
      <c r="B14" s="11" t="s">
        <v>109</v>
      </c>
      <c r="C14" s="11" t="s">
        <v>110</v>
      </c>
      <c r="D14" s="11" t="s">
        <v>111</v>
      </c>
      <c r="E14" s="11" t="s">
        <v>112</v>
      </c>
      <c r="F14" s="11" t="s">
        <v>113</v>
      </c>
      <c r="G14" s="11">
        <v>82003</v>
      </c>
      <c r="H14" s="11"/>
      <c r="J14" s="21">
        <v>1007</v>
      </c>
      <c r="K14" s="20">
        <v>1007</v>
      </c>
      <c r="L14" s="12">
        <v>37713</v>
      </c>
      <c r="M14" s="12">
        <v>37715</v>
      </c>
      <c r="N14" s="11" t="s">
        <v>105</v>
      </c>
      <c r="O14" s="11" t="s">
        <v>106</v>
      </c>
      <c r="P14" s="11" t="s">
        <v>107</v>
      </c>
      <c r="Q14" s="11"/>
    </row>
    <row r="15" spans="1:17" x14ac:dyDescent="0.2">
      <c r="A15" s="20">
        <v>1009</v>
      </c>
      <c r="B15" s="11" t="s">
        <v>114</v>
      </c>
      <c r="C15" s="11" t="s">
        <v>115</v>
      </c>
      <c r="D15" s="11" t="s">
        <v>116</v>
      </c>
      <c r="E15" s="11" t="s">
        <v>117</v>
      </c>
      <c r="F15" s="11" t="s">
        <v>73</v>
      </c>
      <c r="G15" s="11">
        <v>91510</v>
      </c>
      <c r="H15" s="11">
        <v>1003</v>
      </c>
      <c r="J15" s="21">
        <v>1008</v>
      </c>
      <c r="K15" s="20">
        <v>1004</v>
      </c>
      <c r="L15" s="12">
        <v>37713</v>
      </c>
      <c r="M15" s="12">
        <v>37714</v>
      </c>
      <c r="N15" s="11" t="s">
        <v>86</v>
      </c>
      <c r="O15" s="11" t="s">
        <v>87</v>
      </c>
      <c r="P15" s="11" t="s">
        <v>88</v>
      </c>
      <c r="Q15" s="11"/>
    </row>
    <row r="16" spans="1:17" x14ac:dyDescent="0.2">
      <c r="A16" s="20">
        <v>1010</v>
      </c>
      <c r="B16" s="11" t="s">
        <v>118</v>
      </c>
      <c r="C16" s="11" t="s">
        <v>119</v>
      </c>
      <c r="D16" s="11" t="s">
        <v>74</v>
      </c>
      <c r="E16" s="11" t="s">
        <v>75</v>
      </c>
      <c r="F16" s="11" t="s">
        <v>76</v>
      </c>
      <c r="G16" s="11">
        <v>30314</v>
      </c>
      <c r="H16" s="11"/>
      <c r="J16" s="21">
        <v>1009</v>
      </c>
      <c r="K16" s="20">
        <v>1005</v>
      </c>
      <c r="L16" s="12">
        <v>37714</v>
      </c>
      <c r="M16" s="12">
        <v>37716</v>
      </c>
      <c r="N16" s="11" t="s">
        <v>120</v>
      </c>
      <c r="O16" s="11" t="s">
        <v>67</v>
      </c>
      <c r="P16" s="11" t="s">
        <v>68</v>
      </c>
      <c r="Q16" s="11"/>
    </row>
    <row r="17" spans="1:17" x14ac:dyDescent="0.2">
      <c r="A17" s="20">
        <v>1011</v>
      </c>
      <c r="B17" s="11" t="s">
        <v>121</v>
      </c>
      <c r="C17" s="11" t="s">
        <v>122</v>
      </c>
      <c r="D17" s="11" t="s">
        <v>123</v>
      </c>
      <c r="E17" s="11" t="s">
        <v>82</v>
      </c>
      <c r="F17" s="11" t="s">
        <v>83</v>
      </c>
      <c r="G17" s="11">
        <v>60606</v>
      </c>
      <c r="H17" s="11"/>
      <c r="J17" s="21">
        <v>1010</v>
      </c>
      <c r="K17" s="20">
        <v>1019</v>
      </c>
      <c r="L17" s="12">
        <v>37714</v>
      </c>
      <c r="M17" s="12">
        <v>37715</v>
      </c>
      <c r="N17" s="11" t="s">
        <v>124</v>
      </c>
      <c r="O17" s="11" t="s">
        <v>125</v>
      </c>
      <c r="P17" s="11" t="s">
        <v>95</v>
      </c>
      <c r="Q17" s="11"/>
    </row>
    <row r="18" spans="1:17" x14ac:dyDescent="0.2">
      <c r="A18" s="20">
        <v>1012</v>
      </c>
      <c r="B18" s="11" t="s">
        <v>126</v>
      </c>
      <c r="C18" s="11" t="s">
        <v>127</v>
      </c>
      <c r="D18" s="11" t="s">
        <v>128</v>
      </c>
      <c r="E18" s="11" t="s">
        <v>129</v>
      </c>
      <c r="F18" s="11" t="s">
        <v>130</v>
      </c>
      <c r="G18" s="11">
        <v>2110</v>
      </c>
      <c r="H18" s="11"/>
      <c r="J18" s="21">
        <v>1011</v>
      </c>
      <c r="K18" s="20">
        <v>1010</v>
      </c>
      <c r="L18" s="12">
        <v>37714</v>
      </c>
      <c r="M18" s="12">
        <v>37716</v>
      </c>
      <c r="N18" s="11" t="s">
        <v>131</v>
      </c>
      <c r="O18" s="11" t="s">
        <v>75</v>
      </c>
      <c r="P18" s="11" t="s">
        <v>76</v>
      </c>
      <c r="Q18" s="11"/>
    </row>
    <row r="19" spans="1:17" x14ac:dyDescent="0.2">
      <c r="A19" s="20">
        <v>1013</v>
      </c>
      <c r="B19" s="11" t="s">
        <v>132</v>
      </c>
      <c r="C19" s="11" t="s">
        <v>133</v>
      </c>
      <c r="D19" s="11" t="s">
        <v>134</v>
      </c>
      <c r="E19" s="11" t="s">
        <v>135</v>
      </c>
      <c r="F19" s="11" t="s">
        <v>65</v>
      </c>
      <c r="G19" s="11">
        <v>34711</v>
      </c>
      <c r="H19" s="11">
        <v>1006</v>
      </c>
      <c r="J19" s="21">
        <v>1012</v>
      </c>
      <c r="K19" s="20">
        <v>1017</v>
      </c>
      <c r="L19" s="12">
        <v>37714</v>
      </c>
      <c r="M19" s="11"/>
      <c r="N19" s="11" t="s">
        <v>136</v>
      </c>
      <c r="O19" s="11" t="s">
        <v>137</v>
      </c>
      <c r="P19" s="11" t="s">
        <v>138</v>
      </c>
      <c r="Q19" s="11"/>
    </row>
    <row r="20" spans="1:17" x14ac:dyDescent="0.2">
      <c r="A20" s="20">
        <v>1014</v>
      </c>
      <c r="B20" s="11" t="s">
        <v>139</v>
      </c>
      <c r="C20" s="11" t="s">
        <v>140</v>
      </c>
      <c r="D20" s="11" t="s">
        <v>141</v>
      </c>
      <c r="E20" s="11" t="s">
        <v>142</v>
      </c>
      <c r="F20" s="11" t="s">
        <v>113</v>
      </c>
      <c r="G20" s="11">
        <v>82414</v>
      </c>
      <c r="H20" s="11"/>
      <c r="J20" s="21">
        <v>1013</v>
      </c>
      <c r="K20" s="20">
        <v>1014</v>
      </c>
      <c r="L20" s="12">
        <v>37714</v>
      </c>
      <c r="M20" s="12">
        <v>37715</v>
      </c>
      <c r="N20" s="11" t="s">
        <v>143</v>
      </c>
      <c r="O20" s="11" t="s">
        <v>142</v>
      </c>
      <c r="P20" s="11" t="s">
        <v>113</v>
      </c>
      <c r="Q20" s="11"/>
    </row>
    <row r="21" spans="1:17" x14ac:dyDescent="0.2">
      <c r="A21" s="20">
        <v>1015</v>
      </c>
      <c r="B21" s="11" t="s">
        <v>144</v>
      </c>
      <c r="C21" s="11" t="s">
        <v>145</v>
      </c>
      <c r="D21" s="11" t="s">
        <v>146</v>
      </c>
      <c r="E21" s="11" t="s">
        <v>147</v>
      </c>
      <c r="F21" s="11" t="s">
        <v>65</v>
      </c>
      <c r="G21" s="11">
        <v>33111</v>
      </c>
      <c r="H21" s="11"/>
      <c r="J21" s="21">
        <v>1014</v>
      </c>
      <c r="K21" s="20">
        <v>1007</v>
      </c>
      <c r="L21" s="12">
        <v>37715</v>
      </c>
      <c r="M21" s="12">
        <v>37716</v>
      </c>
      <c r="N21" s="11" t="s">
        <v>105</v>
      </c>
      <c r="O21" s="11" t="s">
        <v>106</v>
      </c>
      <c r="P21" s="11" t="s">
        <v>107</v>
      </c>
      <c r="Q21" s="11"/>
    </row>
    <row r="22" spans="1:17" x14ac:dyDescent="0.2">
      <c r="A22" s="20">
        <v>1016</v>
      </c>
      <c r="B22" s="11" t="s">
        <v>148</v>
      </c>
      <c r="C22" s="11" t="s">
        <v>149</v>
      </c>
      <c r="D22" s="11" t="s">
        <v>150</v>
      </c>
      <c r="E22" s="11" t="s">
        <v>117</v>
      </c>
      <c r="F22" s="11" t="s">
        <v>73</v>
      </c>
      <c r="G22" s="11">
        <v>91508</v>
      </c>
      <c r="H22" s="11">
        <v>1010</v>
      </c>
      <c r="J22" s="21">
        <v>1015</v>
      </c>
      <c r="K22" s="20">
        <v>1020</v>
      </c>
      <c r="L22" s="12">
        <v>37715</v>
      </c>
      <c r="M22" s="11"/>
      <c r="N22" s="11" t="s">
        <v>151</v>
      </c>
      <c r="O22" s="11" t="s">
        <v>94</v>
      </c>
      <c r="P22" s="11" t="s">
        <v>95</v>
      </c>
      <c r="Q22" s="11"/>
    </row>
    <row r="23" spans="1:17" x14ac:dyDescent="0.2">
      <c r="A23" s="20">
        <v>1017</v>
      </c>
      <c r="B23" s="11" t="s">
        <v>152</v>
      </c>
      <c r="C23" s="11" t="s">
        <v>153</v>
      </c>
      <c r="D23" s="11" t="s">
        <v>154</v>
      </c>
      <c r="E23" s="11" t="s">
        <v>137</v>
      </c>
      <c r="F23" s="11" t="s">
        <v>138</v>
      </c>
      <c r="G23" s="11">
        <v>49006</v>
      </c>
      <c r="H23" s="11"/>
      <c r="J23" s="21">
        <v>1016</v>
      </c>
      <c r="K23" s="20">
        <v>1003</v>
      </c>
      <c r="L23" s="12">
        <v>37715</v>
      </c>
      <c r="M23" s="11"/>
      <c r="N23" s="11" t="s">
        <v>155</v>
      </c>
      <c r="O23" s="11" t="s">
        <v>80</v>
      </c>
      <c r="P23" s="11" t="s">
        <v>65</v>
      </c>
      <c r="Q23" s="11"/>
    </row>
    <row r="24" spans="1:17" x14ac:dyDescent="0.2">
      <c r="A24" s="20">
        <v>1018</v>
      </c>
      <c r="B24" s="11" t="s">
        <v>156</v>
      </c>
      <c r="C24" s="11" t="s">
        <v>157</v>
      </c>
      <c r="D24" s="11" t="s">
        <v>101</v>
      </c>
      <c r="E24" s="11" t="s">
        <v>102</v>
      </c>
      <c r="F24" s="11" t="s">
        <v>76</v>
      </c>
      <c r="G24" s="11">
        <v>31206</v>
      </c>
      <c r="H24" s="11"/>
      <c r="J24" s="21">
        <v>1017</v>
      </c>
      <c r="K24" s="20">
        <v>1015</v>
      </c>
      <c r="L24" s="12">
        <v>37715</v>
      </c>
      <c r="M24" s="12">
        <v>37716</v>
      </c>
      <c r="N24" s="11" t="s">
        <v>158</v>
      </c>
      <c r="O24" s="11" t="s">
        <v>147</v>
      </c>
      <c r="P24" s="11" t="s">
        <v>65</v>
      </c>
      <c r="Q24" s="11"/>
    </row>
    <row r="25" spans="1:17" x14ac:dyDescent="0.2">
      <c r="A25" s="20">
        <v>1019</v>
      </c>
      <c r="B25" s="11" t="s">
        <v>77</v>
      </c>
      <c r="C25" s="11" t="s">
        <v>159</v>
      </c>
      <c r="D25" s="11" t="s">
        <v>160</v>
      </c>
      <c r="E25" s="11" t="s">
        <v>125</v>
      </c>
      <c r="F25" s="11" t="s">
        <v>95</v>
      </c>
      <c r="G25" s="11">
        <v>7962</v>
      </c>
      <c r="H25" s="11">
        <v>1003</v>
      </c>
      <c r="J25" s="21">
        <v>1018</v>
      </c>
      <c r="K25" s="20">
        <v>1001</v>
      </c>
      <c r="L25" s="12">
        <v>37716</v>
      </c>
      <c r="M25" s="11"/>
      <c r="N25" s="11" t="s">
        <v>161</v>
      </c>
      <c r="O25" s="11" t="s">
        <v>64</v>
      </c>
      <c r="P25" s="11" t="s">
        <v>65</v>
      </c>
      <c r="Q25" s="11"/>
    </row>
    <row r="26" spans="1:17" x14ac:dyDescent="0.2">
      <c r="A26" s="20">
        <v>1020</v>
      </c>
      <c r="B26" s="11" t="s">
        <v>162</v>
      </c>
      <c r="C26" s="11" t="s">
        <v>110</v>
      </c>
      <c r="D26" s="11" t="s">
        <v>163</v>
      </c>
      <c r="E26" s="11" t="s">
        <v>94</v>
      </c>
      <c r="F26" s="11" t="s">
        <v>95</v>
      </c>
      <c r="G26" s="11">
        <v>8607</v>
      </c>
      <c r="H26" s="11"/>
      <c r="J26" s="21">
        <v>1019</v>
      </c>
      <c r="K26" s="20">
        <v>1018</v>
      </c>
      <c r="L26" s="12">
        <v>37716</v>
      </c>
      <c r="M26" s="11"/>
      <c r="N26" s="11" t="s">
        <v>101</v>
      </c>
      <c r="O26" s="11" t="s">
        <v>102</v>
      </c>
      <c r="P26" s="11" t="s">
        <v>76</v>
      </c>
      <c r="Q26" s="11"/>
    </row>
    <row r="27" spans="1:17" x14ac:dyDescent="0.2">
      <c r="A27" s="20">
        <v>1021</v>
      </c>
      <c r="B27" s="11" t="s">
        <v>164</v>
      </c>
      <c r="C27" s="11" t="s">
        <v>165</v>
      </c>
      <c r="D27" s="11" t="s">
        <v>166</v>
      </c>
      <c r="E27" s="11" t="s">
        <v>167</v>
      </c>
      <c r="F27" s="11" t="s">
        <v>168</v>
      </c>
      <c r="G27" s="11">
        <v>54343</v>
      </c>
      <c r="H27" s="11">
        <v>1018</v>
      </c>
      <c r="J27" s="21">
        <v>1020</v>
      </c>
      <c r="K27" s="20">
        <v>1008</v>
      </c>
      <c r="L27" s="12">
        <v>37716</v>
      </c>
      <c r="M27" s="11"/>
      <c r="N27" s="11" t="s">
        <v>169</v>
      </c>
      <c r="O27" s="11" t="s">
        <v>112</v>
      </c>
      <c r="P27" s="11" t="s">
        <v>113</v>
      </c>
      <c r="Q27" s="11"/>
    </row>
    <row r="28" spans="1:17" x14ac:dyDescent="0.2">
      <c r="A28" s="20">
        <v>1022</v>
      </c>
      <c r="B28" s="11" t="s">
        <v>170</v>
      </c>
      <c r="C28" s="11" t="s">
        <v>70</v>
      </c>
      <c r="D28" s="11" t="s">
        <v>171</v>
      </c>
      <c r="E28" s="11" t="s">
        <v>72</v>
      </c>
      <c r="F28" s="11" t="s">
        <v>73</v>
      </c>
      <c r="G28" s="11">
        <v>90504</v>
      </c>
      <c r="H28" s="11"/>
      <c r="J28" s="21">
        <v>9151</v>
      </c>
      <c r="K28" s="20">
        <v>5005</v>
      </c>
      <c r="L28" s="12">
        <v>37711</v>
      </c>
      <c r="M28" s="12">
        <v>37713</v>
      </c>
      <c r="N28" s="11" t="s">
        <v>172</v>
      </c>
      <c r="O28" s="11" t="s">
        <v>173</v>
      </c>
      <c r="P28" s="11" t="s">
        <v>68</v>
      </c>
      <c r="Q28" s="11"/>
    </row>
    <row r="29" spans="1:17" x14ac:dyDescent="0.2">
      <c r="A29" s="20">
        <v>1023</v>
      </c>
      <c r="B29" s="11" t="s">
        <v>174</v>
      </c>
      <c r="C29" s="11" t="s">
        <v>175</v>
      </c>
      <c r="D29" s="11" t="s">
        <v>176</v>
      </c>
      <c r="E29" s="11" t="s">
        <v>177</v>
      </c>
      <c r="F29" s="11" t="s">
        <v>107</v>
      </c>
      <c r="G29" s="11">
        <v>32306</v>
      </c>
      <c r="H29" s="11"/>
      <c r="J29" s="21">
        <v>9152</v>
      </c>
      <c r="K29" s="20">
        <v>5010</v>
      </c>
      <c r="L29" s="12">
        <v>37711</v>
      </c>
      <c r="M29" s="12">
        <v>37712</v>
      </c>
      <c r="N29" s="11" t="s">
        <v>178</v>
      </c>
      <c r="O29" s="11" t="s">
        <v>179</v>
      </c>
      <c r="P29" s="11" t="s">
        <v>76</v>
      </c>
      <c r="Q29" s="11"/>
    </row>
    <row r="33" spans="2:14" x14ac:dyDescent="0.2">
      <c r="B33" s="28" t="s">
        <v>180</v>
      </c>
      <c r="C33" s="28"/>
      <c r="D33" s="28"/>
      <c r="E33" s="28"/>
      <c r="H33" s="27" t="s">
        <v>181</v>
      </c>
      <c r="I33" s="27"/>
      <c r="J33" s="27"/>
      <c r="K33" s="27"/>
      <c r="L33" s="27"/>
      <c r="M33" s="27"/>
      <c r="N33" s="27"/>
    </row>
    <row r="34" spans="2:14" x14ac:dyDescent="0.2">
      <c r="B34" s="9" t="s">
        <v>54</v>
      </c>
      <c r="C34" s="9" t="s">
        <v>182</v>
      </c>
      <c r="D34" s="9" t="s">
        <v>183</v>
      </c>
      <c r="E34" s="9" t="s">
        <v>184</v>
      </c>
      <c r="H34" s="9" t="s">
        <v>183</v>
      </c>
      <c r="I34" s="9" t="s">
        <v>185</v>
      </c>
      <c r="J34" s="9" t="s">
        <v>186</v>
      </c>
      <c r="K34" s="9" t="s">
        <v>187</v>
      </c>
      <c r="L34" s="9" t="s">
        <v>188</v>
      </c>
      <c r="M34" s="9" t="s">
        <v>189</v>
      </c>
      <c r="N34" s="9" t="s">
        <v>190</v>
      </c>
    </row>
    <row r="35" spans="2:14" x14ac:dyDescent="0.2">
      <c r="B35" s="23">
        <v>1000</v>
      </c>
      <c r="C35" s="9">
        <v>1</v>
      </c>
      <c r="D35" s="22">
        <v>3437212490</v>
      </c>
      <c r="E35" s="9">
        <v>1</v>
      </c>
      <c r="H35" s="22">
        <v>1059831198</v>
      </c>
      <c r="I35" s="9" t="s">
        <v>191</v>
      </c>
      <c r="J35" s="13">
        <v>36912</v>
      </c>
      <c r="K35" s="9">
        <v>4</v>
      </c>
      <c r="L35" s="9">
        <v>18.75</v>
      </c>
      <c r="M35" s="9">
        <v>30.95</v>
      </c>
      <c r="N35" s="9" t="s">
        <v>192</v>
      </c>
    </row>
    <row r="36" spans="2:14" x14ac:dyDescent="0.2">
      <c r="B36" s="23">
        <v>1001</v>
      </c>
      <c r="C36" s="9">
        <v>1</v>
      </c>
      <c r="D36" s="22">
        <v>9247381001</v>
      </c>
      <c r="E36" s="9">
        <v>1</v>
      </c>
      <c r="H36" s="22">
        <v>401140733</v>
      </c>
      <c r="I36" s="9" t="s">
        <v>193</v>
      </c>
      <c r="J36" s="13">
        <v>37239</v>
      </c>
      <c r="K36" s="9">
        <v>1</v>
      </c>
      <c r="L36" s="9">
        <v>14.2</v>
      </c>
      <c r="M36" s="9">
        <v>22</v>
      </c>
      <c r="N36" s="9" t="s">
        <v>194</v>
      </c>
    </row>
    <row r="37" spans="2:14" x14ac:dyDescent="0.2">
      <c r="B37" s="23">
        <v>1001</v>
      </c>
      <c r="C37" s="9">
        <v>2</v>
      </c>
      <c r="D37" s="22">
        <v>2491748320</v>
      </c>
      <c r="E37" s="9">
        <v>1</v>
      </c>
      <c r="H37" s="22">
        <v>4981341710</v>
      </c>
      <c r="I37" s="9" t="s">
        <v>195</v>
      </c>
      <c r="J37" s="13">
        <v>37333</v>
      </c>
      <c r="K37" s="9">
        <v>2</v>
      </c>
      <c r="L37" s="9">
        <v>37.799999999999997</v>
      </c>
      <c r="M37" s="9">
        <v>59.95</v>
      </c>
      <c r="N37" s="9" t="s">
        <v>196</v>
      </c>
    </row>
    <row r="38" spans="2:14" x14ac:dyDescent="0.2">
      <c r="B38" s="23">
        <v>1002</v>
      </c>
      <c r="C38" s="9">
        <v>1</v>
      </c>
      <c r="D38" s="22">
        <v>8843172113</v>
      </c>
      <c r="E38" s="9">
        <v>2</v>
      </c>
      <c r="H38" s="22">
        <v>8843172113</v>
      </c>
      <c r="I38" s="9" t="s">
        <v>197</v>
      </c>
      <c r="J38" s="13">
        <v>36315</v>
      </c>
      <c r="K38" s="9">
        <v>3</v>
      </c>
      <c r="L38" s="9">
        <v>31.4</v>
      </c>
      <c r="M38" s="9">
        <v>55.95</v>
      </c>
      <c r="N38" s="9" t="s">
        <v>198</v>
      </c>
    </row>
    <row r="39" spans="2:14" x14ac:dyDescent="0.2">
      <c r="B39" s="23">
        <v>1003</v>
      </c>
      <c r="C39" s="9">
        <v>1</v>
      </c>
      <c r="D39" s="22">
        <v>8843172113</v>
      </c>
      <c r="E39" s="9">
        <v>1</v>
      </c>
      <c r="H39" s="22">
        <v>3437212490</v>
      </c>
      <c r="I39" s="9" t="s">
        <v>199</v>
      </c>
      <c r="J39" s="13">
        <v>36584</v>
      </c>
      <c r="K39" s="9">
        <v>4</v>
      </c>
      <c r="L39" s="9">
        <v>12.5</v>
      </c>
      <c r="M39" s="9">
        <v>19.95</v>
      </c>
      <c r="N39" s="9" t="s">
        <v>200</v>
      </c>
    </row>
    <row r="40" spans="2:14" x14ac:dyDescent="0.2">
      <c r="B40" s="23">
        <v>1003</v>
      </c>
      <c r="C40" s="9">
        <v>2</v>
      </c>
      <c r="D40" s="22">
        <v>1059831198</v>
      </c>
      <c r="E40" s="9">
        <v>1</v>
      </c>
      <c r="H40" s="22">
        <v>3957136468</v>
      </c>
      <c r="I40" s="9" t="s">
        <v>201</v>
      </c>
      <c r="J40" s="13">
        <v>37256</v>
      </c>
      <c r="K40" s="9">
        <v>3</v>
      </c>
      <c r="L40" s="9">
        <v>47.25</v>
      </c>
      <c r="M40" s="9">
        <v>75.95</v>
      </c>
      <c r="N40" s="9" t="s">
        <v>198</v>
      </c>
    </row>
    <row r="41" spans="2:14" x14ac:dyDescent="0.2">
      <c r="B41" s="23">
        <v>1003</v>
      </c>
      <c r="C41" s="9">
        <v>3</v>
      </c>
      <c r="D41" s="22">
        <v>3437212490</v>
      </c>
      <c r="E41" s="9">
        <v>1</v>
      </c>
      <c r="H41" s="22">
        <v>1915762492</v>
      </c>
      <c r="I41" s="9" t="s">
        <v>202</v>
      </c>
      <c r="J41" s="13">
        <v>36912</v>
      </c>
      <c r="K41" s="9">
        <v>3</v>
      </c>
      <c r="L41" s="9">
        <v>21.8</v>
      </c>
      <c r="M41" s="9">
        <v>25</v>
      </c>
      <c r="N41" s="9" t="s">
        <v>198</v>
      </c>
    </row>
    <row r="42" spans="2:14" x14ac:dyDescent="0.2">
      <c r="B42" s="23">
        <v>1004</v>
      </c>
      <c r="C42" s="9">
        <v>1</v>
      </c>
      <c r="D42" s="22">
        <v>2491748320</v>
      </c>
      <c r="E42" s="9">
        <v>2</v>
      </c>
      <c r="H42" s="22">
        <v>9959789321</v>
      </c>
      <c r="I42" s="9" t="s">
        <v>203</v>
      </c>
      <c r="J42" s="13">
        <v>37316</v>
      </c>
      <c r="K42" s="9">
        <v>2</v>
      </c>
      <c r="L42" s="9">
        <v>37.9</v>
      </c>
      <c r="M42" s="9">
        <v>54.5</v>
      </c>
      <c r="N42" s="9" t="s">
        <v>198</v>
      </c>
    </row>
    <row r="43" spans="2:14" x14ac:dyDescent="0.2">
      <c r="B43" s="23">
        <v>1005</v>
      </c>
      <c r="C43" s="9">
        <v>1</v>
      </c>
      <c r="D43" s="22">
        <v>2147428890</v>
      </c>
      <c r="E43" s="9">
        <v>1</v>
      </c>
      <c r="H43" s="22">
        <v>2491748320</v>
      </c>
      <c r="I43" s="9" t="s">
        <v>204</v>
      </c>
      <c r="J43" s="13">
        <v>36724</v>
      </c>
      <c r="K43" s="9">
        <v>5</v>
      </c>
      <c r="L43" s="9">
        <v>48</v>
      </c>
      <c r="M43" s="9">
        <v>89.95</v>
      </c>
      <c r="N43" s="9" t="s">
        <v>194</v>
      </c>
    </row>
    <row r="44" spans="2:14" x14ac:dyDescent="0.2">
      <c r="B44" s="23">
        <v>1006</v>
      </c>
      <c r="C44" s="9">
        <v>1</v>
      </c>
      <c r="D44" s="22">
        <v>9959789321</v>
      </c>
      <c r="E44" s="9">
        <v>1</v>
      </c>
      <c r="H44" s="22">
        <v>299282519</v>
      </c>
      <c r="I44" s="9" t="s">
        <v>205</v>
      </c>
      <c r="J44" s="13">
        <v>36780</v>
      </c>
      <c r="K44" s="9">
        <v>4</v>
      </c>
      <c r="L44" s="9">
        <v>19</v>
      </c>
      <c r="M44" s="9">
        <v>28.75</v>
      </c>
      <c r="N44" s="9" t="s">
        <v>200</v>
      </c>
    </row>
    <row r="45" spans="2:14" x14ac:dyDescent="0.2">
      <c r="B45" s="23">
        <v>1007</v>
      </c>
      <c r="C45" s="9">
        <v>1</v>
      </c>
      <c r="D45" s="22">
        <v>3957136468</v>
      </c>
      <c r="E45" s="9">
        <v>3</v>
      </c>
      <c r="H45" s="22">
        <v>8117949391</v>
      </c>
      <c r="I45" s="9" t="s">
        <v>206</v>
      </c>
      <c r="J45" s="13">
        <v>37203</v>
      </c>
      <c r="K45" s="9">
        <v>5</v>
      </c>
      <c r="L45" s="9">
        <v>5.32</v>
      </c>
      <c r="M45" s="9">
        <v>8.9499999999999993</v>
      </c>
      <c r="N45" s="9" t="s">
        <v>196</v>
      </c>
    </row>
    <row r="46" spans="2:14" x14ac:dyDescent="0.2">
      <c r="B46" s="23">
        <v>1007</v>
      </c>
      <c r="C46" s="9">
        <v>2</v>
      </c>
      <c r="D46" s="22">
        <v>9959789321</v>
      </c>
      <c r="E46" s="9">
        <v>1</v>
      </c>
      <c r="H46" s="22">
        <v>132149871</v>
      </c>
      <c r="I46" s="9" t="s">
        <v>207</v>
      </c>
      <c r="J46" s="13">
        <v>37571</v>
      </c>
      <c r="K46" s="9">
        <v>4</v>
      </c>
      <c r="L46" s="9">
        <v>17.850000000000001</v>
      </c>
      <c r="M46" s="9">
        <v>29.95</v>
      </c>
      <c r="N46" s="9" t="s">
        <v>208</v>
      </c>
    </row>
    <row r="47" spans="2:14" x14ac:dyDescent="0.2">
      <c r="B47" s="23">
        <v>1007</v>
      </c>
      <c r="C47" s="9">
        <v>3</v>
      </c>
      <c r="D47" s="22">
        <v>8117949391</v>
      </c>
      <c r="E47" s="9">
        <v>1</v>
      </c>
      <c r="H47" s="22">
        <v>9247381001</v>
      </c>
      <c r="I47" s="9" t="s">
        <v>209</v>
      </c>
      <c r="J47" s="13">
        <v>36289</v>
      </c>
      <c r="K47" s="9">
        <v>1</v>
      </c>
      <c r="L47" s="9">
        <v>15.4</v>
      </c>
      <c r="M47" s="9">
        <v>31.95</v>
      </c>
      <c r="N47" s="9" t="s">
        <v>210</v>
      </c>
    </row>
    <row r="48" spans="2:14" x14ac:dyDescent="0.2">
      <c r="B48" s="23">
        <v>1007</v>
      </c>
      <c r="C48" s="9">
        <v>4</v>
      </c>
      <c r="D48" s="22">
        <v>8843172113</v>
      </c>
      <c r="E48" s="9">
        <v>1</v>
      </c>
      <c r="H48" s="22">
        <v>2147428890</v>
      </c>
      <c r="I48" s="9" t="s">
        <v>211</v>
      </c>
      <c r="J48" s="13">
        <v>37012</v>
      </c>
      <c r="K48" s="9">
        <v>5</v>
      </c>
      <c r="L48" s="9">
        <v>21.85</v>
      </c>
      <c r="M48" s="9">
        <v>39.950000000000003</v>
      </c>
      <c r="N48" s="9" t="s">
        <v>212</v>
      </c>
    </row>
    <row r="49" spans="2:14" x14ac:dyDescent="0.2">
      <c r="B49" s="23">
        <v>1008</v>
      </c>
      <c r="C49" s="9">
        <v>1</v>
      </c>
      <c r="D49" s="22">
        <v>3437212490</v>
      </c>
      <c r="E49" s="9">
        <v>2</v>
      </c>
      <c r="H49" s="22">
        <v>9999999999</v>
      </c>
      <c r="I49" s="9" t="s">
        <v>213</v>
      </c>
      <c r="J49" s="13">
        <v>36912</v>
      </c>
      <c r="K49" s="9">
        <v>4</v>
      </c>
      <c r="L49" s="9">
        <v>18.75</v>
      </c>
      <c r="M49" s="9">
        <v>30.95</v>
      </c>
      <c r="N49" s="9" t="s">
        <v>214</v>
      </c>
    </row>
    <row r="50" spans="2:14" x14ac:dyDescent="0.2">
      <c r="B50" s="23">
        <v>1009</v>
      </c>
      <c r="C50" s="9">
        <v>1</v>
      </c>
      <c r="D50" s="22">
        <v>3437212490</v>
      </c>
      <c r="E50" s="9">
        <v>1</v>
      </c>
    </row>
    <row r="51" spans="2:14" x14ac:dyDescent="0.2">
      <c r="B51" s="23">
        <v>1009</v>
      </c>
      <c r="C51" s="9">
        <v>2</v>
      </c>
      <c r="D51" s="22">
        <v>401140733</v>
      </c>
      <c r="E51" s="9">
        <v>1</v>
      </c>
    </row>
    <row r="52" spans="2:14" x14ac:dyDescent="0.2">
      <c r="B52" s="23">
        <v>1010</v>
      </c>
      <c r="C52" s="9">
        <v>1</v>
      </c>
      <c r="D52" s="22">
        <v>8843172113</v>
      </c>
      <c r="E52" s="9">
        <v>1</v>
      </c>
    </row>
    <row r="53" spans="2:14" x14ac:dyDescent="0.2">
      <c r="B53" s="23">
        <v>1011</v>
      </c>
      <c r="C53" s="9">
        <v>1</v>
      </c>
      <c r="D53" s="22">
        <v>2491748320</v>
      </c>
      <c r="E53" s="9">
        <v>1</v>
      </c>
    </row>
    <row r="54" spans="2:14" x14ac:dyDescent="0.2">
      <c r="B54" s="23">
        <v>1012</v>
      </c>
      <c r="C54" s="9">
        <v>1</v>
      </c>
      <c r="D54" s="22">
        <v>8117949391</v>
      </c>
      <c r="E54" s="9">
        <v>1</v>
      </c>
    </row>
    <row r="55" spans="2:14" x14ac:dyDescent="0.2">
      <c r="B55" s="23">
        <v>1012</v>
      </c>
      <c r="C55" s="9">
        <v>2</v>
      </c>
      <c r="D55" s="22">
        <v>1915762492</v>
      </c>
      <c r="E55" s="9">
        <v>2</v>
      </c>
    </row>
    <row r="56" spans="2:14" x14ac:dyDescent="0.2">
      <c r="B56" s="23">
        <v>1012</v>
      </c>
      <c r="C56" s="9">
        <v>3</v>
      </c>
      <c r="D56" s="22">
        <v>2491748320</v>
      </c>
      <c r="E56" s="9">
        <v>1</v>
      </c>
    </row>
    <row r="57" spans="2:14" x14ac:dyDescent="0.2">
      <c r="B57" s="23">
        <v>1012</v>
      </c>
      <c r="C57" s="9">
        <v>4</v>
      </c>
      <c r="D57" s="22">
        <v>401140733</v>
      </c>
      <c r="E57" s="9">
        <v>1</v>
      </c>
    </row>
    <row r="58" spans="2:14" x14ac:dyDescent="0.2">
      <c r="B58" s="23">
        <v>1013</v>
      </c>
      <c r="C58" s="9">
        <v>1</v>
      </c>
      <c r="D58" s="22">
        <v>8843172113</v>
      </c>
      <c r="E58" s="9">
        <v>1</v>
      </c>
    </row>
    <row r="59" spans="2:14" x14ac:dyDescent="0.2">
      <c r="B59" s="23">
        <v>1014</v>
      </c>
      <c r="C59" s="9">
        <v>1</v>
      </c>
      <c r="D59" s="22">
        <v>401140733</v>
      </c>
      <c r="E59" s="9">
        <v>2</v>
      </c>
    </row>
    <row r="60" spans="2:14" x14ac:dyDescent="0.2">
      <c r="B60" s="23">
        <v>1015</v>
      </c>
      <c r="C60" s="9">
        <v>1</v>
      </c>
      <c r="D60" s="22">
        <v>3437212490</v>
      </c>
      <c r="E60" s="9">
        <v>1</v>
      </c>
    </row>
    <row r="61" spans="2:14" x14ac:dyDescent="0.2">
      <c r="B61" s="23">
        <v>1016</v>
      </c>
      <c r="C61" s="9">
        <v>1</v>
      </c>
      <c r="D61" s="22">
        <v>2491748320</v>
      </c>
      <c r="E61" s="9">
        <v>1</v>
      </c>
    </row>
    <row r="62" spans="2:14" x14ac:dyDescent="0.2">
      <c r="B62" s="23">
        <v>1017</v>
      </c>
      <c r="C62" s="9">
        <v>1</v>
      </c>
      <c r="D62" s="22">
        <v>8117949391</v>
      </c>
      <c r="E62" s="9">
        <v>2</v>
      </c>
    </row>
    <row r="63" spans="2:14" x14ac:dyDescent="0.2">
      <c r="B63" s="23">
        <v>1018</v>
      </c>
      <c r="C63" s="9">
        <v>1</v>
      </c>
      <c r="D63" s="22">
        <v>3437212490</v>
      </c>
      <c r="E63" s="9">
        <v>1</v>
      </c>
    </row>
    <row r="64" spans="2:14" x14ac:dyDescent="0.2">
      <c r="B64" s="23">
        <v>1018</v>
      </c>
      <c r="C64" s="9">
        <v>2</v>
      </c>
      <c r="D64" s="22">
        <v>8843172113</v>
      </c>
      <c r="E64" s="9">
        <v>1</v>
      </c>
    </row>
    <row r="65" spans="2:5" x14ac:dyDescent="0.2">
      <c r="B65" s="23">
        <v>1019</v>
      </c>
      <c r="C65" s="9">
        <v>1</v>
      </c>
      <c r="D65" s="22">
        <v>401140733</v>
      </c>
      <c r="E65" s="9">
        <v>1</v>
      </c>
    </row>
    <row r="66" spans="2:5" x14ac:dyDescent="0.2">
      <c r="B66" s="23">
        <v>1020</v>
      </c>
      <c r="C66" s="9">
        <v>1</v>
      </c>
      <c r="D66" s="22">
        <v>3437212490</v>
      </c>
      <c r="E66" s="9">
        <v>1</v>
      </c>
    </row>
  </sheetData>
  <mergeCells count="5">
    <mergeCell ref="A5:H5"/>
    <mergeCell ref="J5:Q5"/>
    <mergeCell ref="B33:E33"/>
    <mergeCell ref="H33:N33"/>
    <mergeCell ref="B2:N2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autoPageBreaks="0"/>
  </sheetPr>
  <dimension ref="A1:AG742"/>
  <sheetViews>
    <sheetView zoomScale="115" zoomScaleNormal="115" zoomScaleSheetLayoutView="100" workbookViewId="0">
      <selection activeCell="B35" sqref="B35"/>
    </sheetView>
  </sheetViews>
  <sheetFormatPr defaultColWidth="19.85546875" defaultRowHeight="15" x14ac:dyDescent="0.25"/>
  <cols>
    <col min="1" max="1" width="19.28515625" style="42" bestFit="1" customWidth="1"/>
    <col min="2" max="2" width="8.28515625" style="57" bestFit="1" customWidth="1"/>
    <col min="3" max="3" width="26.85546875" style="42" bestFit="1" customWidth="1"/>
    <col min="4" max="4" width="13" style="82" customWidth="1"/>
    <col min="5" max="5" width="14.85546875" style="83" bestFit="1" customWidth="1"/>
    <col min="6" max="6" width="9.7109375" style="42" bestFit="1" customWidth="1"/>
    <col min="7" max="7" width="13.28515625" style="84" customWidth="1"/>
    <col min="8" max="8" width="7.140625" style="85" bestFit="1" customWidth="1"/>
    <col min="9" max="9" width="5.85546875" style="86" bestFit="1" customWidth="1"/>
    <col min="10" max="10" width="8.42578125" style="42" bestFit="1" customWidth="1"/>
    <col min="11" max="11" width="9.42578125" style="73" customWidth="1"/>
    <col min="12" max="12" width="10" style="42" bestFit="1" customWidth="1"/>
    <col min="13" max="13" width="12.28515625" style="87" bestFit="1" customWidth="1"/>
    <col min="14" max="14" width="8.42578125" style="59" bestFit="1" customWidth="1"/>
    <col min="15" max="15" width="7.5703125" style="42" customWidth="1"/>
    <col min="16" max="16" width="7.28515625" style="42" customWidth="1"/>
    <col min="17" max="17" width="9.85546875" style="42" customWidth="1"/>
    <col min="18" max="18" width="8.85546875" style="42" bestFit="1" customWidth="1"/>
    <col min="19" max="19" width="4.5703125" style="42" bestFit="1" customWidth="1"/>
    <col min="20" max="20" width="9.28515625" style="42" customWidth="1"/>
    <col min="21" max="21" width="5.5703125" style="42" bestFit="1" customWidth="1"/>
    <col min="22" max="26" width="4.42578125" style="42" bestFit="1" customWidth="1"/>
    <col min="27" max="27" width="5.42578125" style="42" customWidth="1"/>
    <col min="28" max="28" width="6" style="42" bestFit="1" customWidth="1"/>
    <col min="29" max="33" width="4.42578125" style="42" bestFit="1" customWidth="1"/>
    <col min="34" max="34" width="4.140625" style="42" bestFit="1" customWidth="1"/>
    <col min="35" max="16384" width="19.85546875" style="42"/>
  </cols>
  <sheetData>
    <row r="1" spans="1:33" x14ac:dyDescent="0.25">
      <c r="A1" s="29" t="s">
        <v>229</v>
      </c>
      <c r="B1" s="30" t="s">
        <v>230</v>
      </c>
      <c r="C1" s="31" t="s">
        <v>231</v>
      </c>
      <c r="D1" s="32" t="s">
        <v>232</v>
      </c>
      <c r="E1" s="33" t="s">
        <v>233</v>
      </c>
      <c r="F1" s="31" t="s">
        <v>234</v>
      </c>
      <c r="G1" s="34" t="s">
        <v>235</v>
      </c>
      <c r="H1" s="35" t="s">
        <v>236</v>
      </c>
      <c r="I1" s="36" t="s">
        <v>237</v>
      </c>
      <c r="J1" s="31" t="s">
        <v>238</v>
      </c>
      <c r="K1" s="37" t="s">
        <v>239</v>
      </c>
      <c r="L1" s="30" t="s">
        <v>240</v>
      </c>
      <c r="M1" s="38" t="s">
        <v>241</v>
      </c>
      <c r="N1" s="39" t="s">
        <v>242</v>
      </c>
      <c r="O1" s="40">
        <v>2.9100000000000001E-2</v>
      </c>
      <c r="P1" s="40"/>
      <c r="Q1" s="40"/>
      <c r="R1" s="41" t="s">
        <v>243</v>
      </c>
      <c r="S1" s="41"/>
      <c r="U1" s="43"/>
      <c r="V1" s="44" t="s">
        <v>73</v>
      </c>
      <c r="W1" s="44" t="s">
        <v>107</v>
      </c>
      <c r="X1" s="44" t="s">
        <v>100</v>
      </c>
      <c r="Y1" s="44" t="s">
        <v>65</v>
      </c>
      <c r="Z1" s="44" t="s">
        <v>83</v>
      </c>
      <c r="AA1" s="45"/>
      <c r="AB1" s="46"/>
      <c r="AC1" s="47" t="s">
        <v>73</v>
      </c>
      <c r="AD1" s="47" t="s">
        <v>107</v>
      </c>
      <c r="AE1" s="47" t="s">
        <v>100</v>
      </c>
      <c r="AF1" s="47" t="s">
        <v>65</v>
      </c>
      <c r="AG1" s="47" t="s">
        <v>83</v>
      </c>
    </row>
    <row r="2" spans="1:33" x14ac:dyDescent="0.25">
      <c r="A2" s="48" t="s">
        <v>244</v>
      </c>
      <c r="B2" s="49" t="s">
        <v>245</v>
      </c>
      <c r="C2" s="48" t="s">
        <v>246</v>
      </c>
      <c r="D2" s="50">
        <v>948195711</v>
      </c>
      <c r="E2" s="51">
        <v>2523539786</v>
      </c>
      <c r="F2" s="48" t="s">
        <v>247</v>
      </c>
      <c r="G2" s="52">
        <v>40148</v>
      </c>
      <c r="H2" s="53" t="str">
        <f t="shared" ref="H2:H65" si="0">CHOOSE(MONTH(G2),"Jan","Feb","Mar","Apr","May","Jun","Jul","Aug","Sep","Oct","Nov","Dec")</f>
        <v>Dec</v>
      </c>
      <c r="I2" s="54">
        <f t="shared" ref="I2:I65" ca="1" si="1">DATEDIF(G2,TODAY(),"Y")</f>
        <v>6</v>
      </c>
      <c r="J2" s="55"/>
      <c r="K2" s="56">
        <v>51050</v>
      </c>
      <c r="L2" s="57">
        <v>5</v>
      </c>
      <c r="M2" s="58"/>
      <c r="R2" s="60">
        <v>0</v>
      </c>
      <c r="S2" s="61">
        <v>0</v>
      </c>
      <c r="U2" s="43" t="s">
        <v>248</v>
      </c>
      <c r="V2" s="62">
        <v>33</v>
      </c>
      <c r="W2" s="62">
        <v>40</v>
      </c>
      <c r="X2" s="62">
        <v>37</v>
      </c>
      <c r="Y2" s="62">
        <v>48</v>
      </c>
      <c r="Z2" s="62">
        <v>48</v>
      </c>
      <c r="AA2" s="62"/>
      <c r="AB2" s="63" t="s">
        <v>249</v>
      </c>
      <c r="AC2" s="62">
        <v>45</v>
      </c>
      <c r="AD2" s="62">
        <v>47</v>
      </c>
      <c r="AE2" s="62">
        <v>35</v>
      </c>
      <c r="AF2" s="62">
        <v>49</v>
      </c>
      <c r="AG2" s="62">
        <v>37</v>
      </c>
    </row>
    <row r="3" spans="1:33" x14ac:dyDescent="0.25">
      <c r="A3" s="48" t="s">
        <v>250</v>
      </c>
      <c r="B3" s="49" t="s">
        <v>251</v>
      </c>
      <c r="C3" s="48" t="s">
        <v>246</v>
      </c>
      <c r="D3" s="50">
        <v>411526157</v>
      </c>
      <c r="E3" s="51">
        <v>9195818082</v>
      </c>
      <c r="F3" s="48" t="s">
        <v>252</v>
      </c>
      <c r="G3" s="52">
        <v>34847</v>
      </c>
      <c r="H3" s="53" t="str">
        <f t="shared" si="0"/>
        <v>May</v>
      </c>
      <c r="I3" s="54">
        <f t="shared" ca="1" si="1"/>
        <v>21</v>
      </c>
      <c r="J3" s="55"/>
      <c r="K3" s="56">
        <v>42820</v>
      </c>
      <c r="L3" s="57">
        <v>2</v>
      </c>
      <c r="M3" s="58"/>
      <c r="O3" s="59"/>
      <c r="R3" s="64">
        <v>5000</v>
      </c>
      <c r="S3" s="65">
        <v>0.01</v>
      </c>
      <c r="U3" s="43" t="s">
        <v>253</v>
      </c>
      <c r="V3" s="62">
        <v>35</v>
      </c>
      <c r="W3" s="62">
        <v>38</v>
      </c>
      <c r="X3" s="62">
        <v>36</v>
      </c>
      <c r="Y3" s="62">
        <v>48</v>
      </c>
      <c r="Z3" s="62">
        <v>41</v>
      </c>
      <c r="AA3" s="62"/>
      <c r="AB3" s="63" t="s">
        <v>254</v>
      </c>
      <c r="AC3" s="62">
        <v>39</v>
      </c>
      <c r="AD3" s="62">
        <v>35</v>
      </c>
      <c r="AE3" s="62">
        <v>45</v>
      </c>
      <c r="AF3" s="62">
        <v>34</v>
      </c>
      <c r="AG3" s="62">
        <v>37</v>
      </c>
    </row>
    <row r="4" spans="1:33" x14ac:dyDescent="0.25">
      <c r="A4" s="48" t="s">
        <v>255</v>
      </c>
      <c r="B4" s="49" t="s">
        <v>245</v>
      </c>
      <c r="C4" s="48" t="s">
        <v>246</v>
      </c>
      <c r="D4" s="50">
        <v>100432924</v>
      </c>
      <c r="E4" s="51">
        <v>4022804104</v>
      </c>
      <c r="F4" s="48" t="s">
        <v>256</v>
      </c>
      <c r="G4" s="52">
        <v>37172</v>
      </c>
      <c r="H4" s="53" t="str">
        <f t="shared" si="0"/>
        <v>Oct</v>
      </c>
      <c r="I4" s="54">
        <f t="shared" ca="1" si="1"/>
        <v>15</v>
      </c>
      <c r="J4" s="55" t="s">
        <v>257</v>
      </c>
      <c r="K4" s="56">
        <v>29460</v>
      </c>
      <c r="L4" s="57">
        <v>1</v>
      </c>
      <c r="M4" s="58"/>
      <c r="N4" s="66"/>
      <c r="O4" s="59"/>
      <c r="R4" s="64">
        <v>25000</v>
      </c>
      <c r="S4" s="65">
        <v>0.05</v>
      </c>
      <c r="U4" s="43" t="s">
        <v>258</v>
      </c>
      <c r="V4" s="62">
        <v>49</v>
      </c>
      <c r="W4" s="62">
        <v>36</v>
      </c>
      <c r="X4" s="62">
        <v>40</v>
      </c>
      <c r="Y4" s="62">
        <v>35</v>
      </c>
      <c r="Z4" s="62">
        <v>44</v>
      </c>
      <c r="AA4" s="62"/>
      <c r="AB4" s="63" t="s">
        <v>259</v>
      </c>
      <c r="AC4" s="62">
        <v>30</v>
      </c>
      <c r="AD4" s="62">
        <v>45</v>
      </c>
      <c r="AE4" s="62">
        <v>43</v>
      </c>
      <c r="AF4" s="62">
        <v>46</v>
      </c>
      <c r="AG4" s="62">
        <v>30</v>
      </c>
    </row>
    <row r="5" spans="1:33" x14ac:dyDescent="0.25">
      <c r="A5" s="48" t="s">
        <v>260</v>
      </c>
      <c r="B5" s="49" t="s">
        <v>245</v>
      </c>
      <c r="C5" s="48" t="s">
        <v>246</v>
      </c>
      <c r="D5" s="50">
        <v>914428485</v>
      </c>
      <c r="E5" s="51">
        <v>2521774590</v>
      </c>
      <c r="F5" s="48" t="s">
        <v>261</v>
      </c>
      <c r="G5" s="52">
        <v>34291</v>
      </c>
      <c r="H5" s="53" t="str">
        <f t="shared" si="0"/>
        <v>Nov</v>
      </c>
      <c r="I5" s="54">
        <f t="shared" ca="1" si="1"/>
        <v>22</v>
      </c>
      <c r="J5" s="55" t="s">
        <v>262</v>
      </c>
      <c r="K5" s="56">
        <v>32150</v>
      </c>
      <c r="L5" s="57">
        <v>4</v>
      </c>
      <c r="M5" s="58"/>
      <c r="N5" s="66"/>
      <c r="O5" s="59"/>
      <c r="R5" s="64">
        <v>35000</v>
      </c>
      <c r="S5" s="65">
        <v>0.06</v>
      </c>
      <c r="U5" s="43" t="s">
        <v>263</v>
      </c>
      <c r="V5" s="62">
        <v>35</v>
      </c>
      <c r="W5" s="62">
        <v>46</v>
      </c>
      <c r="X5" s="62">
        <v>44</v>
      </c>
      <c r="Y5" s="62">
        <v>48</v>
      </c>
      <c r="Z5" s="62">
        <v>47</v>
      </c>
      <c r="AA5" s="62"/>
      <c r="AB5" s="63" t="s">
        <v>264</v>
      </c>
      <c r="AC5" s="62">
        <v>46</v>
      </c>
      <c r="AD5" s="62">
        <v>40</v>
      </c>
      <c r="AE5" s="62">
        <v>45</v>
      </c>
      <c r="AF5" s="62">
        <v>45</v>
      </c>
      <c r="AG5" s="62">
        <v>37</v>
      </c>
    </row>
    <row r="6" spans="1:33" x14ac:dyDescent="0.25">
      <c r="A6" s="48" t="s">
        <v>265</v>
      </c>
      <c r="B6" s="49" t="s">
        <v>266</v>
      </c>
      <c r="C6" s="48" t="s">
        <v>246</v>
      </c>
      <c r="D6" s="50">
        <v>991656720</v>
      </c>
      <c r="E6" s="51">
        <v>2528138394</v>
      </c>
      <c r="F6" s="48" t="s">
        <v>256</v>
      </c>
      <c r="G6" s="52">
        <v>40448</v>
      </c>
      <c r="H6" s="53" t="str">
        <f t="shared" si="0"/>
        <v>Sep</v>
      </c>
      <c r="I6" s="54">
        <f t="shared" ca="1" si="1"/>
        <v>6</v>
      </c>
      <c r="J6" s="55" t="s">
        <v>267</v>
      </c>
      <c r="K6" s="56">
        <v>87400</v>
      </c>
      <c r="L6" s="57">
        <v>2</v>
      </c>
      <c r="M6" s="58"/>
      <c r="O6" s="59"/>
      <c r="R6" s="64">
        <v>45000</v>
      </c>
      <c r="S6" s="65">
        <v>7.0000000000000007E-2</v>
      </c>
      <c r="U6" s="43" t="s">
        <v>268</v>
      </c>
      <c r="V6" s="62">
        <v>31</v>
      </c>
      <c r="W6" s="62">
        <v>49</v>
      </c>
      <c r="X6" s="62">
        <v>43</v>
      </c>
      <c r="Y6" s="62">
        <v>42</v>
      </c>
      <c r="Z6" s="62">
        <v>34</v>
      </c>
      <c r="AA6" s="62"/>
      <c r="AB6" s="63" t="s">
        <v>269</v>
      </c>
      <c r="AC6" s="62">
        <v>38</v>
      </c>
      <c r="AD6" s="62">
        <v>39</v>
      </c>
      <c r="AE6" s="62">
        <v>42</v>
      </c>
      <c r="AF6" s="62">
        <v>40</v>
      </c>
      <c r="AG6" s="62">
        <v>43</v>
      </c>
    </row>
    <row r="7" spans="1:33" x14ac:dyDescent="0.25">
      <c r="A7" s="48" t="s">
        <v>270</v>
      </c>
      <c r="B7" s="49" t="s">
        <v>271</v>
      </c>
      <c r="C7" s="48" t="s">
        <v>272</v>
      </c>
      <c r="D7" s="50">
        <v>535539723</v>
      </c>
      <c r="E7" s="51">
        <v>2523492633</v>
      </c>
      <c r="F7" s="48" t="s">
        <v>261</v>
      </c>
      <c r="G7" s="52">
        <v>34475</v>
      </c>
      <c r="H7" s="53" t="str">
        <f t="shared" si="0"/>
        <v>May</v>
      </c>
      <c r="I7" s="54">
        <f t="shared" ca="1" si="1"/>
        <v>22</v>
      </c>
      <c r="J7" s="55" t="s">
        <v>262</v>
      </c>
      <c r="K7" s="56">
        <v>36530</v>
      </c>
      <c r="L7" s="57">
        <v>1</v>
      </c>
      <c r="M7" s="58"/>
      <c r="O7" s="59"/>
      <c r="R7" s="64">
        <v>55000</v>
      </c>
      <c r="S7" s="65">
        <v>0.08</v>
      </c>
      <c r="U7" s="43" t="s">
        <v>273</v>
      </c>
      <c r="V7" s="62">
        <v>43</v>
      </c>
      <c r="W7" s="62">
        <v>38</v>
      </c>
      <c r="X7" s="62">
        <v>44</v>
      </c>
      <c r="Y7" s="62">
        <v>44</v>
      </c>
      <c r="Z7" s="62">
        <v>39</v>
      </c>
      <c r="AA7" s="62"/>
      <c r="AB7" s="63" t="s">
        <v>274</v>
      </c>
      <c r="AC7" s="62">
        <v>30</v>
      </c>
      <c r="AD7" s="62">
        <v>47</v>
      </c>
      <c r="AE7" s="62">
        <v>46</v>
      </c>
      <c r="AF7" s="62">
        <v>42</v>
      </c>
      <c r="AG7" s="62">
        <v>34</v>
      </c>
    </row>
    <row r="8" spans="1:33" x14ac:dyDescent="0.25">
      <c r="A8" s="48" t="s">
        <v>275</v>
      </c>
      <c r="B8" s="49" t="s">
        <v>245</v>
      </c>
      <c r="C8" s="48" t="s">
        <v>272</v>
      </c>
      <c r="D8" s="50">
        <v>297852686</v>
      </c>
      <c r="E8" s="51">
        <v>2525832994</v>
      </c>
      <c r="F8" s="48" t="s">
        <v>256</v>
      </c>
      <c r="G8" s="52">
        <v>40705</v>
      </c>
      <c r="H8" s="53" t="str">
        <f t="shared" si="0"/>
        <v>Jun</v>
      </c>
      <c r="I8" s="54">
        <f t="shared" ca="1" si="1"/>
        <v>5</v>
      </c>
      <c r="J8" s="55" t="s">
        <v>276</v>
      </c>
      <c r="K8" s="56">
        <v>69950</v>
      </c>
      <c r="L8" s="57">
        <v>5</v>
      </c>
      <c r="M8" s="58"/>
      <c r="O8" s="59"/>
      <c r="R8" s="64">
        <v>65000</v>
      </c>
      <c r="S8" s="65">
        <v>0.1</v>
      </c>
    </row>
    <row r="9" spans="1:33" x14ac:dyDescent="0.25">
      <c r="A9" s="48" t="s">
        <v>277</v>
      </c>
      <c r="B9" s="49" t="s">
        <v>271</v>
      </c>
      <c r="C9" s="48" t="s">
        <v>272</v>
      </c>
      <c r="D9" s="50">
        <v>638271383</v>
      </c>
      <c r="E9" s="51">
        <v>2521641031</v>
      </c>
      <c r="F9" s="48" t="s">
        <v>256</v>
      </c>
      <c r="G9" s="52">
        <v>39143</v>
      </c>
      <c r="H9" s="53" t="str">
        <f t="shared" si="0"/>
        <v>Mar</v>
      </c>
      <c r="I9" s="54">
        <f t="shared" ca="1" si="1"/>
        <v>9</v>
      </c>
      <c r="J9" s="55" t="s">
        <v>257</v>
      </c>
      <c r="K9" s="56">
        <v>59220</v>
      </c>
      <c r="L9" s="57">
        <v>4</v>
      </c>
      <c r="M9" s="58"/>
      <c r="O9" s="59"/>
      <c r="R9" s="64">
        <v>75000</v>
      </c>
      <c r="S9" s="65">
        <v>0.11</v>
      </c>
      <c r="U9" s="67"/>
      <c r="V9" s="68"/>
      <c r="W9" s="68"/>
      <c r="X9" s="68"/>
      <c r="Y9" s="68"/>
      <c r="Z9" s="68"/>
      <c r="AB9" s="69"/>
      <c r="AC9" s="70"/>
      <c r="AD9" s="70"/>
      <c r="AE9" s="70"/>
      <c r="AF9" s="70"/>
    </row>
    <row r="10" spans="1:33" x14ac:dyDescent="0.25">
      <c r="A10" s="48" t="s">
        <v>278</v>
      </c>
      <c r="B10" s="49" t="s">
        <v>245</v>
      </c>
      <c r="C10" s="48" t="s">
        <v>272</v>
      </c>
      <c r="D10" s="50">
        <v>771277493</v>
      </c>
      <c r="E10" s="51">
        <v>2522872439</v>
      </c>
      <c r="F10" s="48" t="s">
        <v>252</v>
      </c>
      <c r="G10" s="52">
        <v>41127</v>
      </c>
      <c r="H10" s="53" t="str">
        <f t="shared" si="0"/>
        <v>Aug</v>
      </c>
      <c r="I10" s="54">
        <f t="shared" ca="1" si="1"/>
        <v>4</v>
      </c>
      <c r="J10" s="55"/>
      <c r="K10" s="56">
        <v>12760</v>
      </c>
      <c r="L10" s="57">
        <v>4</v>
      </c>
      <c r="M10" s="58"/>
      <c r="O10" s="59"/>
      <c r="R10" s="64">
        <v>85000</v>
      </c>
      <c r="S10" s="65">
        <v>0.12</v>
      </c>
      <c r="U10" s="67"/>
      <c r="V10" s="71"/>
      <c r="W10" s="71"/>
      <c r="X10" s="71"/>
      <c r="Y10" s="71"/>
      <c r="Z10" s="71"/>
      <c r="AA10" s="72"/>
      <c r="AB10" s="73"/>
      <c r="AC10" s="55"/>
      <c r="AD10" s="55"/>
      <c r="AE10" s="55"/>
      <c r="AF10" s="55"/>
    </row>
    <row r="11" spans="1:33" x14ac:dyDescent="0.25">
      <c r="A11" s="48" t="s">
        <v>279</v>
      </c>
      <c r="B11" s="49" t="s">
        <v>280</v>
      </c>
      <c r="C11" s="48" t="s">
        <v>272</v>
      </c>
      <c r="D11" s="50">
        <v>415076748</v>
      </c>
      <c r="E11" s="51">
        <v>9195230846</v>
      </c>
      <c r="F11" s="48" t="s">
        <v>252</v>
      </c>
      <c r="G11" s="52">
        <v>34483</v>
      </c>
      <c r="H11" s="53" t="str">
        <f t="shared" si="0"/>
        <v>May</v>
      </c>
      <c r="I11" s="54">
        <f t="shared" ca="1" si="1"/>
        <v>22</v>
      </c>
      <c r="J11" s="55" t="s">
        <v>257</v>
      </c>
      <c r="K11" s="56">
        <v>34880</v>
      </c>
      <c r="L11" s="57">
        <v>3</v>
      </c>
      <c r="M11" s="58"/>
      <c r="O11" s="59"/>
      <c r="R11" s="64">
        <v>95000</v>
      </c>
      <c r="S11" s="65">
        <v>0.13</v>
      </c>
      <c r="U11" s="67"/>
      <c r="V11" s="71"/>
      <c r="W11" s="71"/>
      <c r="X11" s="71"/>
      <c r="Y11" s="71"/>
      <c r="Z11" s="71"/>
      <c r="AA11" s="55"/>
      <c r="AB11" s="73"/>
      <c r="AC11" s="55"/>
      <c r="AD11" s="55"/>
      <c r="AE11" s="55"/>
      <c r="AF11" s="55"/>
    </row>
    <row r="12" spans="1:33" x14ac:dyDescent="0.25">
      <c r="A12" s="48" t="s">
        <v>281</v>
      </c>
      <c r="B12" s="49" t="s">
        <v>251</v>
      </c>
      <c r="C12" s="48" t="s">
        <v>272</v>
      </c>
      <c r="D12" s="50">
        <v>356110882</v>
      </c>
      <c r="E12" s="51">
        <v>2527936742</v>
      </c>
      <c r="F12" s="48" t="s">
        <v>261</v>
      </c>
      <c r="G12" s="52">
        <v>37218</v>
      </c>
      <c r="H12" s="53" t="str">
        <f t="shared" si="0"/>
        <v>Nov</v>
      </c>
      <c r="I12" s="54">
        <f t="shared" ca="1" si="1"/>
        <v>14</v>
      </c>
      <c r="J12" s="55" t="s">
        <v>257</v>
      </c>
      <c r="K12" s="56">
        <v>18290</v>
      </c>
      <c r="L12" s="57">
        <v>1</v>
      </c>
      <c r="M12" s="58"/>
      <c r="O12" s="59"/>
      <c r="R12" s="74"/>
      <c r="U12" s="67"/>
      <c r="V12" s="71"/>
      <c r="W12" s="71"/>
      <c r="X12" s="71"/>
      <c r="Y12" s="71"/>
      <c r="Z12" s="71"/>
      <c r="AA12" s="55"/>
      <c r="AB12" s="73"/>
      <c r="AC12" s="55"/>
      <c r="AD12" s="55"/>
      <c r="AE12" s="55"/>
      <c r="AF12" s="55"/>
    </row>
    <row r="13" spans="1:33" x14ac:dyDescent="0.25">
      <c r="A13" s="48" t="s">
        <v>282</v>
      </c>
      <c r="B13" s="49" t="s">
        <v>280</v>
      </c>
      <c r="C13" s="48" t="s">
        <v>272</v>
      </c>
      <c r="D13" s="50">
        <v>475256935</v>
      </c>
      <c r="E13" s="51">
        <v>2527852326</v>
      </c>
      <c r="F13" s="48" t="s">
        <v>256</v>
      </c>
      <c r="G13" s="52">
        <v>36743</v>
      </c>
      <c r="H13" s="53" t="str">
        <f t="shared" si="0"/>
        <v>Aug</v>
      </c>
      <c r="I13" s="54">
        <f t="shared" ca="1" si="1"/>
        <v>16</v>
      </c>
      <c r="J13" s="55" t="s">
        <v>283</v>
      </c>
      <c r="K13" s="56">
        <v>102360</v>
      </c>
      <c r="L13" s="57">
        <v>2</v>
      </c>
      <c r="M13" s="58"/>
      <c r="O13" s="59"/>
      <c r="R13" s="74"/>
      <c r="U13" s="67"/>
      <c r="V13" s="71"/>
      <c r="W13" s="71"/>
      <c r="X13" s="71"/>
      <c r="Y13" s="71"/>
      <c r="Z13" s="71"/>
      <c r="AA13" s="55"/>
      <c r="AB13" s="73"/>
      <c r="AC13" s="55"/>
      <c r="AD13" s="55"/>
      <c r="AE13" s="55"/>
      <c r="AF13" s="55"/>
    </row>
    <row r="14" spans="1:33" x14ac:dyDescent="0.25">
      <c r="A14" s="42" t="s">
        <v>284</v>
      </c>
      <c r="B14" s="49" t="s">
        <v>285</v>
      </c>
      <c r="C14" s="42" t="s">
        <v>272</v>
      </c>
      <c r="D14" s="75">
        <v>768681542</v>
      </c>
      <c r="E14" s="76">
        <v>8021673267</v>
      </c>
      <c r="F14" s="42" t="s">
        <v>256</v>
      </c>
      <c r="G14" s="52">
        <v>36465</v>
      </c>
      <c r="H14" s="53" t="str">
        <f t="shared" si="0"/>
        <v>Nov</v>
      </c>
      <c r="I14" s="54">
        <f t="shared" ca="1" si="1"/>
        <v>17</v>
      </c>
      <c r="J14" s="55" t="s">
        <v>257</v>
      </c>
      <c r="K14" s="56">
        <v>73000</v>
      </c>
      <c r="L14" s="57">
        <v>2</v>
      </c>
      <c r="M14" s="58"/>
      <c r="O14" s="59"/>
      <c r="U14" s="67"/>
      <c r="V14" s="71"/>
      <c r="W14" s="71"/>
      <c r="X14" s="71"/>
      <c r="Y14" s="71"/>
      <c r="Z14" s="71"/>
      <c r="AA14" s="55"/>
      <c r="AB14" s="73"/>
      <c r="AC14" s="55"/>
      <c r="AD14" s="55"/>
      <c r="AE14" s="55"/>
      <c r="AF14" s="55"/>
    </row>
    <row r="15" spans="1:33" x14ac:dyDescent="0.25">
      <c r="A15" s="42" t="s">
        <v>286</v>
      </c>
      <c r="B15" s="49" t="s">
        <v>245</v>
      </c>
      <c r="C15" s="42" t="s">
        <v>272</v>
      </c>
      <c r="D15" s="75">
        <v>767961463</v>
      </c>
      <c r="E15" s="76">
        <v>2523646601</v>
      </c>
      <c r="F15" s="42" t="s">
        <v>247</v>
      </c>
      <c r="G15" s="52">
        <v>37778</v>
      </c>
      <c r="H15" s="53" t="str">
        <f t="shared" si="0"/>
        <v>Jun</v>
      </c>
      <c r="I15" s="54">
        <f t="shared" ca="1" si="1"/>
        <v>13</v>
      </c>
      <c r="J15" s="55"/>
      <c r="K15" s="56">
        <v>92030</v>
      </c>
      <c r="L15" s="57">
        <v>3</v>
      </c>
      <c r="M15" s="58"/>
      <c r="O15" s="59"/>
      <c r="U15" s="67"/>
      <c r="V15" s="71"/>
      <c r="W15" s="71"/>
      <c r="X15" s="71"/>
      <c r="Y15" s="71"/>
      <c r="Z15" s="71"/>
      <c r="AA15" s="55"/>
      <c r="AB15" s="73"/>
      <c r="AC15" s="55"/>
      <c r="AD15" s="55"/>
      <c r="AE15" s="55"/>
      <c r="AF15" s="55"/>
    </row>
    <row r="16" spans="1:33" x14ac:dyDescent="0.25">
      <c r="A16" s="42" t="s">
        <v>287</v>
      </c>
      <c r="B16" s="49" t="s">
        <v>271</v>
      </c>
      <c r="C16" s="42" t="s">
        <v>272</v>
      </c>
      <c r="D16" s="75">
        <v>202815919</v>
      </c>
      <c r="E16" s="76">
        <v>2528467597</v>
      </c>
      <c r="F16" s="42" t="s">
        <v>247</v>
      </c>
      <c r="G16" s="52">
        <v>35077</v>
      </c>
      <c r="H16" s="53" t="str">
        <f t="shared" si="0"/>
        <v>Jan</v>
      </c>
      <c r="I16" s="54">
        <f t="shared" ca="1" si="1"/>
        <v>20</v>
      </c>
      <c r="J16" s="55"/>
      <c r="K16" s="56">
        <v>79900</v>
      </c>
      <c r="L16" s="57">
        <v>5</v>
      </c>
      <c r="M16" s="58"/>
      <c r="N16" s="66"/>
      <c r="O16" s="59"/>
      <c r="V16" s="77"/>
      <c r="W16" s="77"/>
      <c r="X16" s="77"/>
      <c r="Y16" s="77"/>
      <c r="Z16" s="55"/>
      <c r="AA16" s="55"/>
      <c r="AB16" s="55"/>
      <c r="AC16" s="55"/>
      <c r="AD16" s="55"/>
      <c r="AE16" s="55"/>
      <c r="AF16" s="55"/>
    </row>
    <row r="17" spans="1:14" x14ac:dyDescent="0.25">
      <c r="A17" s="42" t="s">
        <v>288</v>
      </c>
      <c r="B17" s="49" t="s">
        <v>271</v>
      </c>
      <c r="C17" s="42" t="s">
        <v>272</v>
      </c>
      <c r="D17" s="75">
        <v>781913936</v>
      </c>
      <c r="E17" s="76">
        <v>9197889149</v>
      </c>
      <c r="F17" s="42" t="s">
        <v>261</v>
      </c>
      <c r="G17" s="52">
        <v>38783</v>
      </c>
      <c r="H17" s="53" t="str">
        <f t="shared" si="0"/>
        <v>Mar</v>
      </c>
      <c r="I17" s="54">
        <f t="shared" ca="1" si="1"/>
        <v>10</v>
      </c>
      <c r="J17" s="55" t="s">
        <v>276</v>
      </c>
      <c r="K17" s="56">
        <v>21280</v>
      </c>
      <c r="L17" s="57">
        <v>3</v>
      </c>
      <c r="M17" s="58"/>
    </row>
    <row r="18" spans="1:14" x14ac:dyDescent="0.25">
      <c r="A18" s="42" t="s">
        <v>289</v>
      </c>
      <c r="B18" s="49" t="s">
        <v>251</v>
      </c>
      <c r="C18" s="42" t="s">
        <v>272</v>
      </c>
      <c r="D18" s="75">
        <v>975603308</v>
      </c>
      <c r="E18" s="76">
        <v>9192693355</v>
      </c>
      <c r="F18" s="42" t="s">
        <v>256</v>
      </c>
      <c r="G18" s="52">
        <v>38405</v>
      </c>
      <c r="H18" s="53" t="str">
        <f t="shared" si="0"/>
        <v>Feb</v>
      </c>
      <c r="I18" s="54">
        <f t="shared" ca="1" si="1"/>
        <v>11</v>
      </c>
      <c r="J18" s="55" t="s">
        <v>257</v>
      </c>
      <c r="K18" s="56">
        <v>36940</v>
      </c>
      <c r="L18" s="57">
        <v>4</v>
      </c>
      <c r="M18" s="58"/>
    </row>
    <row r="19" spans="1:14" x14ac:dyDescent="0.25">
      <c r="A19" s="42" t="s">
        <v>290</v>
      </c>
      <c r="B19" s="49" t="s">
        <v>266</v>
      </c>
      <c r="C19" s="42" t="s">
        <v>272</v>
      </c>
      <c r="D19" s="75">
        <v>840313216</v>
      </c>
      <c r="E19" s="76">
        <v>9198449868</v>
      </c>
      <c r="F19" s="42" t="s">
        <v>256</v>
      </c>
      <c r="G19" s="52">
        <v>40070</v>
      </c>
      <c r="H19" s="53" t="str">
        <f t="shared" si="0"/>
        <v>Sep</v>
      </c>
      <c r="I19" s="54">
        <f t="shared" ca="1" si="1"/>
        <v>7</v>
      </c>
      <c r="J19" s="55" t="s">
        <v>267</v>
      </c>
      <c r="K19" s="56">
        <v>45200</v>
      </c>
      <c r="L19" s="57">
        <v>3</v>
      </c>
      <c r="M19" s="58"/>
    </row>
    <row r="20" spans="1:14" x14ac:dyDescent="0.25">
      <c r="A20" s="42" t="s">
        <v>291</v>
      </c>
      <c r="B20" s="49" t="s">
        <v>266</v>
      </c>
      <c r="C20" s="42" t="s">
        <v>272</v>
      </c>
      <c r="D20" s="75">
        <v>456946966</v>
      </c>
      <c r="E20" s="76">
        <v>9194680033</v>
      </c>
      <c r="F20" s="42" t="s">
        <v>256</v>
      </c>
      <c r="G20" s="52">
        <v>37765</v>
      </c>
      <c r="H20" s="53" t="str">
        <f t="shared" si="0"/>
        <v>May</v>
      </c>
      <c r="I20" s="54">
        <f t="shared" ca="1" si="1"/>
        <v>13</v>
      </c>
      <c r="J20" s="55" t="s">
        <v>276</v>
      </c>
      <c r="K20" s="56">
        <v>89810</v>
      </c>
      <c r="L20" s="57">
        <v>4</v>
      </c>
      <c r="M20" s="58"/>
    </row>
    <row r="21" spans="1:14" x14ac:dyDescent="0.25">
      <c r="A21" s="42" t="s">
        <v>292</v>
      </c>
      <c r="B21" s="49" t="s">
        <v>285</v>
      </c>
      <c r="C21" s="42" t="s">
        <v>272</v>
      </c>
      <c r="D21" s="75">
        <v>542051793</v>
      </c>
      <c r="E21" s="76">
        <v>2527317354</v>
      </c>
      <c r="F21" s="42" t="s">
        <v>256</v>
      </c>
      <c r="G21" s="52">
        <v>37261</v>
      </c>
      <c r="H21" s="53" t="str">
        <f t="shared" si="0"/>
        <v>Jan</v>
      </c>
      <c r="I21" s="54">
        <f t="shared" ca="1" si="1"/>
        <v>14</v>
      </c>
      <c r="J21" s="55" t="s">
        <v>257</v>
      </c>
      <c r="K21" s="56">
        <v>90180</v>
      </c>
      <c r="L21" s="57">
        <v>1</v>
      </c>
      <c r="M21" s="58"/>
    </row>
    <row r="22" spans="1:14" x14ac:dyDescent="0.25">
      <c r="A22" s="42" t="s">
        <v>293</v>
      </c>
      <c r="B22" s="49" t="s">
        <v>285</v>
      </c>
      <c r="C22" s="42" t="s">
        <v>272</v>
      </c>
      <c r="D22" s="75">
        <v>608796012</v>
      </c>
      <c r="E22" s="76">
        <v>9194075460</v>
      </c>
      <c r="F22" s="42" t="s">
        <v>256</v>
      </c>
      <c r="G22" s="52">
        <v>34832</v>
      </c>
      <c r="H22" s="53" t="str">
        <f t="shared" si="0"/>
        <v>May</v>
      </c>
      <c r="I22" s="54">
        <f t="shared" ca="1" si="1"/>
        <v>21</v>
      </c>
      <c r="J22" s="55" t="s">
        <v>257</v>
      </c>
      <c r="K22" s="56">
        <v>95710</v>
      </c>
      <c r="L22" s="57">
        <v>5</v>
      </c>
      <c r="M22" s="58"/>
    </row>
    <row r="23" spans="1:14" x14ac:dyDescent="0.25">
      <c r="A23" s="42" t="s">
        <v>294</v>
      </c>
      <c r="B23" s="49" t="s">
        <v>251</v>
      </c>
      <c r="C23" s="42" t="s">
        <v>272</v>
      </c>
      <c r="D23" s="75">
        <v>481336564</v>
      </c>
      <c r="E23" s="76">
        <v>9196479087</v>
      </c>
      <c r="F23" s="42" t="s">
        <v>256</v>
      </c>
      <c r="G23" s="52">
        <v>37144</v>
      </c>
      <c r="H23" s="53" t="str">
        <f t="shared" si="0"/>
        <v>Sep</v>
      </c>
      <c r="I23" s="54">
        <f t="shared" ca="1" si="1"/>
        <v>15</v>
      </c>
      <c r="J23" s="55" t="s">
        <v>283</v>
      </c>
      <c r="K23" s="56">
        <v>86510</v>
      </c>
      <c r="L23" s="57">
        <v>5</v>
      </c>
      <c r="M23" s="58"/>
    </row>
    <row r="24" spans="1:14" x14ac:dyDescent="0.25">
      <c r="A24" s="42" t="s">
        <v>295</v>
      </c>
      <c r="B24" s="49" t="s">
        <v>245</v>
      </c>
      <c r="C24" s="42" t="s">
        <v>296</v>
      </c>
      <c r="D24" s="75">
        <v>460412180</v>
      </c>
      <c r="E24" s="76">
        <v>9196822349</v>
      </c>
      <c r="F24" s="42" t="s">
        <v>256</v>
      </c>
      <c r="G24" s="52">
        <v>41107</v>
      </c>
      <c r="H24" s="53" t="str">
        <f t="shared" si="0"/>
        <v>Jul</v>
      </c>
      <c r="I24" s="54">
        <f t="shared" ca="1" si="1"/>
        <v>4</v>
      </c>
      <c r="J24" s="55" t="s">
        <v>262</v>
      </c>
      <c r="K24" s="56">
        <v>61420</v>
      </c>
      <c r="L24" s="57">
        <v>3</v>
      </c>
      <c r="M24" s="58"/>
      <c r="N24" s="66"/>
    </row>
    <row r="25" spans="1:14" x14ac:dyDescent="0.25">
      <c r="A25" s="42" t="s">
        <v>297</v>
      </c>
      <c r="B25" s="49" t="s">
        <v>245</v>
      </c>
      <c r="C25" s="42" t="s">
        <v>296</v>
      </c>
      <c r="D25" s="75">
        <v>515543972</v>
      </c>
      <c r="E25" s="76">
        <v>9193539483</v>
      </c>
      <c r="F25" s="42" t="s">
        <v>256</v>
      </c>
      <c r="G25" s="52">
        <v>37620</v>
      </c>
      <c r="H25" s="53" t="str">
        <f t="shared" si="0"/>
        <v>Dec</v>
      </c>
      <c r="I25" s="54">
        <f t="shared" ca="1" si="1"/>
        <v>13</v>
      </c>
      <c r="J25" s="55" t="s">
        <v>267</v>
      </c>
      <c r="K25" s="56">
        <v>67730</v>
      </c>
      <c r="L25" s="57">
        <v>1</v>
      </c>
      <c r="M25" s="58"/>
    </row>
    <row r="26" spans="1:14" x14ac:dyDescent="0.25">
      <c r="A26" s="42" t="s">
        <v>298</v>
      </c>
      <c r="B26" s="49" t="s">
        <v>285</v>
      </c>
      <c r="C26" s="42" t="s">
        <v>296</v>
      </c>
      <c r="D26" s="75">
        <v>533976888</v>
      </c>
      <c r="E26" s="76">
        <v>9192572783</v>
      </c>
      <c r="F26" s="42" t="s">
        <v>256</v>
      </c>
      <c r="G26" s="52">
        <v>37215</v>
      </c>
      <c r="H26" s="53" t="str">
        <f t="shared" si="0"/>
        <v>Nov</v>
      </c>
      <c r="I26" s="54">
        <f t="shared" ca="1" si="1"/>
        <v>14</v>
      </c>
      <c r="J26" s="55" t="s">
        <v>276</v>
      </c>
      <c r="K26" s="56">
        <v>57420</v>
      </c>
      <c r="L26" s="57">
        <v>1</v>
      </c>
      <c r="M26" s="58"/>
    </row>
    <row r="27" spans="1:14" x14ac:dyDescent="0.25">
      <c r="A27" s="42" t="s">
        <v>299</v>
      </c>
      <c r="B27" s="49" t="s">
        <v>245</v>
      </c>
      <c r="C27" s="42" t="s">
        <v>296</v>
      </c>
      <c r="D27" s="75">
        <v>796079833</v>
      </c>
      <c r="E27" s="76">
        <v>2525327906</v>
      </c>
      <c r="F27" s="42" t="s">
        <v>261</v>
      </c>
      <c r="G27" s="52">
        <v>36565</v>
      </c>
      <c r="H27" s="53" t="str">
        <f t="shared" si="0"/>
        <v>Feb</v>
      </c>
      <c r="I27" s="54">
        <f t="shared" ca="1" si="1"/>
        <v>16</v>
      </c>
      <c r="J27" s="55" t="s">
        <v>257</v>
      </c>
      <c r="K27" s="56">
        <v>13230</v>
      </c>
      <c r="L27" s="57">
        <v>1</v>
      </c>
      <c r="M27" s="58"/>
    </row>
    <row r="28" spans="1:14" x14ac:dyDescent="0.25">
      <c r="A28" s="42" t="s">
        <v>300</v>
      </c>
      <c r="B28" s="49" t="s">
        <v>271</v>
      </c>
      <c r="C28" s="42" t="s">
        <v>296</v>
      </c>
      <c r="D28" s="75">
        <v>216607562</v>
      </c>
      <c r="E28" s="76">
        <v>2521593705</v>
      </c>
      <c r="F28" s="42" t="s">
        <v>256</v>
      </c>
      <c r="G28" s="52">
        <v>36460</v>
      </c>
      <c r="H28" s="53" t="str">
        <f t="shared" si="0"/>
        <v>Oct</v>
      </c>
      <c r="I28" s="54">
        <f t="shared" ca="1" si="1"/>
        <v>17</v>
      </c>
      <c r="J28" s="55" t="s">
        <v>283</v>
      </c>
      <c r="K28" s="56">
        <v>59230</v>
      </c>
      <c r="L28" s="57">
        <v>2</v>
      </c>
      <c r="M28" s="58"/>
    </row>
    <row r="29" spans="1:14" x14ac:dyDescent="0.25">
      <c r="A29" s="42" t="s">
        <v>301</v>
      </c>
      <c r="B29" s="49" t="s">
        <v>271</v>
      </c>
      <c r="C29" s="42" t="s">
        <v>296</v>
      </c>
      <c r="D29" s="75">
        <v>243350742</v>
      </c>
      <c r="E29" s="76">
        <v>2528304204</v>
      </c>
      <c r="F29" s="42" t="s">
        <v>252</v>
      </c>
      <c r="G29" s="52">
        <v>36675</v>
      </c>
      <c r="H29" s="53" t="str">
        <f t="shared" si="0"/>
        <v>May</v>
      </c>
      <c r="I29" s="54">
        <f t="shared" ca="1" si="1"/>
        <v>16</v>
      </c>
      <c r="J29" s="55"/>
      <c r="K29" s="56">
        <v>24030</v>
      </c>
      <c r="L29" s="57">
        <v>4</v>
      </c>
      <c r="M29" s="58"/>
    </row>
    <row r="30" spans="1:14" x14ac:dyDescent="0.25">
      <c r="A30" s="42" t="s">
        <v>302</v>
      </c>
      <c r="B30" s="49" t="s">
        <v>251</v>
      </c>
      <c r="C30" s="42" t="s">
        <v>296</v>
      </c>
      <c r="D30" s="75">
        <v>764375259</v>
      </c>
      <c r="E30" s="76">
        <v>2527515181</v>
      </c>
      <c r="F30" s="42" t="s">
        <v>256</v>
      </c>
      <c r="G30" s="52">
        <v>39052</v>
      </c>
      <c r="H30" s="53" t="str">
        <f t="shared" si="0"/>
        <v>Dec</v>
      </c>
      <c r="I30" s="54">
        <f t="shared" ca="1" si="1"/>
        <v>9</v>
      </c>
      <c r="J30" s="55" t="s">
        <v>257</v>
      </c>
      <c r="K30" s="56">
        <v>36420</v>
      </c>
      <c r="L30" s="57">
        <v>1</v>
      </c>
      <c r="M30" s="58"/>
    </row>
    <row r="31" spans="1:14" x14ac:dyDescent="0.25">
      <c r="A31" s="42" t="s">
        <v>303</v>
      </c>
      <c r="B31" s="49" t="s">
        <v>245</v>
      </c>
      <c r="C31" s="42" t="s">
        <v>296</v>
      </c>
      <c r="D31" s="75">
        <v>278431222</v>
      </c>
      <c r="E31" s="76">
        <v>9196699611</v>
      </c>
      <c r="F31" s="42" t="s">
        <v>256</v>
      </c>
      <c r="G31" s="52">
        <v>37894</v>
      </c>
      <c r="H31" s="53" t="str">
        <f t="shared" si="0"/>
        <v>Sep</v>
      </c>
      <c r="I31" s="54">
        <f t="shared" ca="1" si="1"/>
        <v>13</v>
      </c>
      <c r="J31" s="55" t="s">
        <v>283</v>
      </c>
      <c r="K31" s="56">
        <v>40370</v>
      </c>
      <c r="L31" s="57">
        <v>3</v>
      </c>
      <c r="M31" s="58"/>
    </row>
    <row r="32" spans="1:14" x14ac:dyDescent="0.25">
      <c r="A32" s="42" t="s">
        <v>304</v>
      </c>
      <c r="B32" s="49" t="s">
        <v>285</v>
      </c>
      <c r="C32" s="42" t="s">
        <v>296</v>
      </c>
      <c r="D32" s="75">
        <v>237359447</v>
      </c>
      <c r="E32" s="76">
        <v>9195882405</v>
      </c>
      <c r="F32" s="42" t="s">
        <v>256</v>
      </c>
      <c r="G32" s="52">
        <v>35302</v>
      </c>
      <c r="H32" s="53" t="str">
        <f t="shared" si="0"/>
        <v>Aug</v>
      </c>
      <c r="I32" s="54">
        <f t="shared" ca="1" si="1"/>
        <v>20</v>
      </c>
      <c r="J32" s="55" t="s">
        <v>257</v>
      </c>
      <c r="K32" s="56">
        <v>88130</v>
      </c>
      <c r="L32" s="57">
        <v>1</v>
      </c>
      <c r="M32" s="58"/>
    </row>
    <row r="33" spans="1:17" x14ac:dyDescent="0.25">
      <c r="A33" s="42" t="s">
        <v>305</v>
      </c>
      <c r="B33" s="49" t="s">
        <v>245</v>
      </c>
      <c r="C33" s="42" t="s">
        <v>296</v>
      </c>
      <c r="D33" s="75">
        <v>963028490</v>
      </c>
      <c r="E33" s="76">
        <v>2524383168</v>
      </c>
      <c r="F33" s="42" t="s">
        <v>256</v>
      </c>
      <c r="G33" s="52">
        <v>34552</v>
      </c>
      <c r="H33" s="53" t="str">
        <f t="shared" si="0"/>
        <v>Aug</v>
      </c>
      <c r="I33" s="54">
        <f t="shared" ca="1" si="1"/>
        <v>22</v>
      </c>
      <c r="J33" s="55" t="s">
        <v>262</v>
      </c>
      <c r="K33" s="56">
        <v>49620</v>
      </c>
      <c r="L33" s="57">
        <v>2</v>
      </c>
      <c r="M33" s="58"/>
    </row>
    <row r="34" spans="1:17" x14ac:dyDescent="0.25">
      <c r="A34" s="42" t="s">
        <v>306</v>
      </c>
      <c r="B34" s="49" t="s">
        <v>285</v>
      </c>
      <c r="C34" s="42" t="s">
        <v>307</v>
      </c>
      <c r="D34" s="75">
        <v>682791418</v>
      </c>
      <c r="E34" s="76">
        <v>9194603155</v>
      </c>
      <c r="F34" s="42" t="s">
        <v>256</v>
      </c>
      <c r="G34" s="52">
        <v>34714</v>
      </c>
      <c r="H34" s="53" t="str">
        <f t="shared" si="0"/>
        <v>Jan</v>
      </c>
      <c r="I34" s="54">
        <f t="shared" ca="1" si="1"/>
        <v>21</v>
      </c>
      <c r="J34" s="55" t="s">
        <v>257</v>
      </c>
      <c r="K34" s="56">
        <v>55460</v>
      </c>
      <c r="L34" s="57">
        <v>3</v>
      </c>
      <c r="M34" s="58"/>
      <c r="N34" s="66"/>
      <c r="O34" s="78"/>
    </row>
    <row r="35" spans="1:17" x14ac:dyDescent="0.25">
      <c r="A35" s="42" t="s">
        <v>308</v>
      </c>
      <c r="B35" s="49" t="s">
        <v>285</v>
      </c>
      <c r="C35" s="42" t="s">
        <v>307</v>
      </c>
      <c r="D35" s="75">
        <v>534034571</v>
      </c>
      <c r="E35" s="76">
        <v>2526169135</v>
      </c>
      <c r="F35" s="42" t="s">
        <v>261</v>
      </c>
      <c r="G35" s="52">
        <v>40418</v>
      </c>
      <c r="H35" s="53" t="str">
        <f t="shared" si="0"/>
        <v>Aug</v>
      </c>
      <c r="I35" s="54">
        <f t="shared" ca="1" si="1"/>
        <v>6</v>
      </c>
      <c r="J35" s="55" t="s">
        <v>267</v>
      </c>
      <c r="K35" s="56">
        <v>55310</v>
      </c>
      <c r="L35" s="57">
        <v>3</v>
      </c>
      <c r="M35" s="58"/>
    </row>
    <row r="36" spans="1:17" x14ac:dyDescent="0.25">
      <c r="A36" s="42" t="s">
        <v>309</v>
      </c>
      <c r="B36" s="49" t="s">
        <v>271</v>
      </c>
      <c r="C36" s="42" t="s">
        <v>307</v>
      </c>
      <c r="D36" s="75">
        <v>601942708</v>
      </c>
      <c r="E36" s="76">
        <v>9198085402</v>
      </c>
      <c r="F36" s="42" t="s">
        <v>261</v>
      </c>
      <c r="G36" s="52">
        <v>41153</v>
      </c>
      <c r="H36" s="53" t="str">
        <f t="shared" si="0"/>
        <v>Sep</v>
      </c>
      <c r="I36" s="54">
        <f t="shared" ca="1" si="1"/>
        <v>4</v>
      </c>
      <c r="J36" s="55" t="s">
        <v>283</v>
      </c>
      <c r="K36" s="56">
        <v>34420</v>
      </c>
      <c r="L36" s="57">
        <v>1</v>
      </c>
      <c r="M36" s="58"/>
    </row>
    <row r="37" spans="1:17" x14ac:dyDescent="0.25">
      <c r="A37" s="42" t="s">
        <v>310</v>
      </c>
      <c r="B37" s="49" t="s">
        <v>280</v>
      </c>
      <c r="C37" s="42" t="s">
        <v>307</v>
      </c>
      <c r="D37" s="75">
        <v>529609767</v>
      </c>
      <c r="E37" s="76">
        <v>2528006736</v>
      </c>
      <c r="F37" s="42" t="s">
        <v>247</v>
      </c>
      <c r="G37" s="52">
        <v>36396</v>
      </c>
      <c r="H37" s="53" t="str">
        <f t="shared" si="0"/>
        <v>Aug</v>
      </c>
      <c r="I37" s="54">
        <f t="shared" ca="1" si="1"/>
        <v>17</v>
      </c>
      <c r="J37" s="55"/>
      <c r="K37" s="56">
        <v>69760</v>
      </c>
      <c r="L37" s="57">
        <v>2</v>
      </c>
      <c r="M37" s="58"/>
      <c r="P37" s="78"/>
      <c r="Q37" s="78"/>
    </row>
    <row r="38" spans="1:17" x14ac:dyDescent="0.25">
      <c r="A38" s="42" t="s">
        <v>311</v>
      </c>
      <c r="B38" s="49" t="s">
        <v>245</v>
      </c>
      <c r="C38" s="42" t="s">
        <v>312</v>
      </c>
      <c r="D38" s="75">
        <v>365117800</v>
      </c>
      <c r="E38" s="76">
        <v>2524125146</v>
      </c>
      <c r="F38" s="42" t="s">
        <v>256</v>
      </c>
      <c r="G38" s="52">
        <v>38961</v>
      </c>
      <c r="H38" s="53" t="str">
        <f t="shared" si="0"/>
        <v>Sep</v>
      </c>
      <c r="I38" s="54">
        <f t="shared" ca="1" si="1"/>
        <v>10</v>
      </c>
      <c r="J38" s="55" t="s">
        <v>257</v>
      </c>
      <c r="K38" s="56">
        <v>80270</v>
      </c>
      <c r="L38" s="57">
        <v>5</v>
      </c>
      <c r="M38" s="58"/>
    </row>
    <row r="39" spans="1:17" x14ac:dyDescent="0.25">
      <c r="A39" s="42" t="s">
        <v>313</v>
      </c>
      <c r="B39" s="49" t="s">
        <v>245</v>
      </c>
      <c r="C39" s="42" t="s">
        <v>312</v>
      </c>
      <c r="D39" s="75">
        <v>580960042</v>
      </c>
      <c r="E39" s="76">
        <v>9197528456</v>
      </c>
      <c r="F39" s="42" t="s">
        <v>247</v>
      </c>
      <c r="G39" s="52">
        <v>40041</v>
      </c>
      <c r="H39" s="53" t="str">
        <f t="shared" si="0"/>
        <v>Aug</v>
      </c>
      <c r="I39" s="54">
        <f t="shared" ca="1" si="1"/>
        <v>7</v>
      </c>
      <c r="J39" s="55"/>
      <c r="K39" s="56">
        <v>74580</v>
      </c>
      <c r="L39" s="57">
        <v>4</v>
      </c>
      <c r="M39" s="58"/>
    </row>
    <row r="40" spans="1:17" x14ac:dyDescent="0.25">
      <c r="A40" s="42" t="s">
        <v>314</v>
      </c>
      <c r="B40" s="49" t="s">
        <v>271</v>
      </c>
      <c r="C40" s="42" t="s">
        <v>312</v>
      </c>
      <c r="D40" s="75">
        <v>981106829</v>
      </c>
      <c r="E40" s="76">
        <v>2526196095</v>
      </c>
      <c r="F40" s="42" t="s">
        <v>247</v>
      </c>
      <c r="G40" s="52">
        <v>36849</v>
      </c>
      <c r="H40" s="53" t="str">
        <f t="shared" si="0"/>
        <v>Nov</v>
      </c>
      <c r="I40" s="54">
        <f t="shared" ca="1" si="1"/>
        <v>15</v>
      </c>
      <c r="J40" s="55"/>
      <c r="K40" s="56">
        <v>102580</v>
      </c>
      <c r="L40" s="57">
        <v>5</v>
      </c>
      <c r="M40" s="58"/>
    </row>
    <row r="41" spans="1:17" x14ac:dyDescent="0.25">
      <c r="A41" s="42" t="s">
        <v>315</v>
      </c>
      <c r="B41" s="49" t="s">
        <v>285</v>
      </c>
      <c r="C41" s="42" t="s">
        <v>312</v>
      </c>
      <c r="D41" s="75">
        <v>260815239</v>
      </c>
      <c r="E41" s="76">
        <v>2523040292</v>
      </c>
      <c r="F41" s="42" t="s">
        <v>252</v>
      </c>
      <c r="G41" s="52">
        <v>34621</v>
      </c>
      <c r="H41" s="53" t="str">
        <f t="shared" si="0"/>
        <v>Oct</v>
      </c>
      <c r="I41" s="54">
        <f t="shared" ca="1" si="1"/>
        <v>22</v>
      </c>
      <c r="J41" s="55"/>
      <c r="K41" s="56">
        <v>17480</v>
      </c>
      <c r="L41" s="57">
        <v>3</v>
      </c>
      <c r="M41" s="58"/>
      <c r="O41" s="78"/>
    </row>
    <row r="42" spans="1:17" x14ac:dyDescent="0.25">
      <c r="A42" s="42" t="s">
        <v>316</v>
      </c>
      <c r="B42" s="49" t="s">
        <v>285</v>
      </c>
      <c r="C42" s="42" t="s">
        <v>312</v>
      </c>
      <c r="D42" s="75">
        <v>334574480</v>
      </c>
      <c r="E42" s="76">
        <v>2525165289</v>
      </c>
      <c r="F42" s="42" t="s">
        <v>256</v>
      </c>
      <c r="G42" s="52">
        <v>37507</v>
      </c>
      <c r="H42" s="53" t="str">
        <f t="shared" si="0"/>
        <v>Sep</v>
      </c>
      <c r="I42" s="54">
        <f t="shared" ca="1" si="1"/>
        <v>14</v>
      </c>
      <c r="J42" s="55" t="s">
        <v>283</v>
      </c>
      <c r="K42" s="56">
        <v>38520</v>
      </c>
      <c r="L42" s="57">
        <v>1</v>
      </c>
      <c r="M42" s="58"/>
      <c r="O42" s="78"/>
    </row>
    <row r="43" spans="1:17" x14ac:dyDescent="0.25">
      <c r="A43" s="42" t="s">
        <v>317</v>
      </c>
      <c r="B43" s="49" t="s">
        <v>280</v>
      </c>
      <c r="C43" s="42" t="s">
        <v>312</v>
      </c>
      <c r="D43" s="75">
        <v>163292583</v>
      </c>
      <c r="E43" s="76">
        <v>2522005810</v>
      </c>
      <c r="F43" s="42" t="s">
        <v>247</v>
      </c>
      <c r="G43" s="52">
        <v>37039</v>
      </c>
      <c r="H43" s="53" t="str">
        <f t="shared" si="0"/>
        <v>May</v>
      </c>
      <c r="I43" s="54">
        <f t="shared" ca="1" si="1"/>
        <v>15</v>
      </c>
      <c r="J43" s="55"/>
      <c r="K43" s="56">
        <v>36410</v>
      </c>
      <c r="L43" s="57">
        <v>3</v>
      </c>
      <c r="M43" s="58"/>
    </row>
    <row r="44" spans="1:17" x14ac:dyDescent="0.25">
      <c r="A44" s="42" t="s">
        <v>318</v>
      </c>
      <c r="B44" s="49" t="s">
        <v>271</v>
      </c>
      <c r="C44" s="42" t="s">
        <v>312</v>
      </c>
      <c r="D44" s="75">
        <v>923665952</v>
      </c>
      <c r="E44" s="76">
        <v>2525295649</v>
      </c>
      <c r="F44" s="42" t="s">
        <v>256</v>
      </c>
      <c r="G44" s="52">
        <v>36087</v>
      </c>
      <c r="H44" s="53" t="str">
        <f t="shared" si="0"/>
        <v>Oct</v>
      </c>
      <c r="I44" s="54">
        <f t="shared" ca="1" si="1"/>
        <v>18</v>
      </c>
      <c r="J44" s="55" t="s">
        <v>267</v>
      </c>
      <c r="K44" s="56">
        <v>92820</v>
      </c>
      <c r="L44" s="57">
        <v>5</v>
      </c>
      <c r="M44" s="58"/>
      <c r="N44" s="66"/>
    </row>
    <row r="45" spans="1:17" x14ac:dyDescent="0.25">
      <c r="A45" s="42" t="s">
        <v>319</v>
      </c>
      <c r="B45" s="49" t="s">
        <v>285</v>
      </c>
      <c r="C45" s="42" t="s">
        <v>312</v>
      </c>
      <c r="D45" s="75">
        <v>905675120</v>
      </c>
      <c r="E45" s="76">
        <v>9192526124</v>
      </c>
      <c r="F45" s="42" t="s">
        <v>256</v>
      </c>
      <c r="G45" s="52">
        <v>36208</v>
      </c>
      <c r="H45" s="53" t="str">
        <f t="shared" si="0"/>
        <v>Feb</v>
      </c>
      <c r="I45" s="54">
        <f t="shared" ca="1" si="1"/>
        <v>17</v>
      </c>
      <c r="J45" s="55" t="s">
        <v>267</v>
      </c>
      <c r="K45" s="56">
        <v>93100</v>
      </c>
      <c r="L45" s="57">
        <v>3</v>
      </c>
      <c r="M45" s="58"/>
    </row>
    <row r="46" spans="1:17" x14ac:dyDescent="0.25">
      <c r="A46" s="42" t="s">
        <v>320</v>
      </c>
      <c r="B46" s="49" t="s">
        <v>271</v>
      </c>
      <c r="C46" s="42" t="s">
        <v>312</v>
      </c>
      <c r="D46" s="75">
        <v>242099349</v>
      </c>
      <c r="E46" s="76">
        <v>2526576057</v>
      </c>
      <c r="F46" s="42" t="s">
        <v>256</v>
      </c>
      <c r="G46" s="52">
        <v>41502</v>
      </c>
      <c r="H46" s="53" t="str">
        <f t="shared" si="0"/>
        <v>Aug</v>
      </c>
      <c r="I46" s="54">
        <f t="shared" ca="1" si="1"/>
        <v>3</v>
      </c>
      <c r="J46" s="55" t="s">
        <v>267</v>
      </c>
      <c r="K46" s="56">
        <v>93380</v>
      </c>
      <c r="L46" s="57">
        <v>3</v>
      </c>
      <c r="M46" s="58"/>
    </row>
    <row r="47" spans="1:17" x14ac:dyDescent="0.25">
      <c r="A47" s="42" t="s">
        <v>321</v>
      </c>
      <c r="B47" s="49" t="s">
        <v>266</v>
      </c>
      <c r="C47" s="42" t="s">
        <v>312</v>
      </c>
      <c r="D47" s="75">
        <v>964243524</v>
      </c>
      <c r="E47" s="76">
        <v>2522339143</v>
      </c>
      <c r="F47" s="42" t="s">
        <v>256</v>
      </c>
      <c r="G47" s="52">
        <v>35997</v>
      </c>
      <c r="H47" s="53" t="str">
        <f t="shared" si="0"/>
        <v>Jul</v>
      </c>
      <c r="I47" s="54">
        <f t="shared" ca="1" si="1"/>
        <v>18</v>
      </c>
      <c r="J47" s="55" t="s">
        <v>257</v>
      </c>
      <c r="K47" s="56">
        <v>81470</v>
      </c>
      <c r="L47" s="57">
        <v>5</v>
      </c>
      <c r="M47" s="58"/>
    </row>
    <row r="48" spans="1:17" x14ac:dyDescent="0.25">
      <c r="A48" s="42" t="s">
        <v>322</v>
      </c>
      <c r="B48" s="49" t="s">
        <v>271</v>
      </c>
      <c r="C48" s="42" t="s">
        <v>312</v>
      </c>
      <c r="D48" s="75">
        <v>436693732</v>
      </c>
      <c r="E48" s="76">
        <v>2524077699</v>
      </c>
      <c r="F48" s="42" t="s">
        <v>256</v>
      </c>
      <c r="G48" s="52">
        <v>38177</v>
      </c>
      <c r="H48" s="53" t="str">
        <f t="shared" si="0"/>
        <v>Jul</v>
      </c>
      <c r="I48" s="54">
        <f t="shared" ca="1" si="1"/>
        <v>12</v>
      </c>
      <c r="J48" s="55" t="s">
        <v>267</v>
      </c>
      <c r="K48" s="56">
        <v>75350</v>
      </c>
      <c r="L48" s="57">
        <v>2</v>
      </c>
      <c r="M48" s="58"/>
    </row>
    <row r="49" spans="1:17" x14ac:dyDescent="0.25">
      <c r="A49" s="42" t="s">
        <v>323</v>
      </c>
      <c r="B49" s="49" t="s">
        <v>271</v>
      </c>
      <c r="C49" s="42" t="s">
        <v>312</v>
      </c>
      <c r="D49" s="75">
        <v>147261161</v>
      </c>
      <c r="E49" s="76">
        <v>9197692593</v>
      </c>
      <c r="F49" s="42" t="s">
        <v>256</v>
      </c>
      <c r="G49" s="52">
        <v>35833</v>
      </c>
      <c r="H49" s="53" t="str">
        <f t="shared" si="0"/>
        <v>Feb</v>
      </c>
      <c r="I49" s="54">
        <f t="shared" ca="1" si="1"/>
        <v>18</v>
      </c>
      <c r="J49" s="55" t="s">
        <v>257</v>
      </c>
      <c r="K49" s="56">
        <v>38290</v>
      </c>
      <c r="L49" s="57">
        <v>5</v>
      </c>
      <c r="M49" s="58"/>
    </row>
    <row r="50" spans="1:17" x14ac:dyDescent="0.25">
      <c r="A50" s="42" t="s">
        <v>324</v>
      </c>
      <c r="B50" s="49" t="s">
        <v>271</v>
      </c>
      <c r="C50" s="42" t="s">
        <v>312</v>
      </c>
      <c r="D50" s="75">
        <v>513140687</v>
      </c>
      <c r="E50" s="76">
        <v>9192163497</v>
      </c>
      <c r="F50" s="42" t="s">
        <v>247</v>
      </c>
      <c r="G50" s="52">
        <v>34229</v>
      </c>
      <c r="H50" s="53" t="str">
        <f t="shared" si="0"/>
        <v>Sep</v>
      </c>
      <c r="I50" s="54">
        <f t="shared" ca="1" si="1"/>
        <v>23</v>
      </c>
      <c r="J50" s="55"/>
      <c r="K50" s="56">
        <v>51530</v>
      </c>
      <c r="L50" s="57">
        <v>1</v>
      </c>
      <c r="M50" s="58"/>
    </row>
    <row r="51" spans="1:17" x14ac:dyDescent="0.25">
      <c r="A51" s="42" t="s">
        <v>325</v>
      </c>
      <c r="B51" s="49" t="s">
        <v>285</v>
      </c>
      <c r="C51" s="42" t="s">
        <v>312</v>
      </c>
      <c r="D51" s="75">
        <v>768215237</v>
      </c>
      <c r="E51" s="76">
        <v>9195993367</v>
      </c>
      <c r="F51" s="42" t="s">
        <v>261</v>
      </c>
      <c r="G51" s="52">
        <v>34473</v>
      </c>
      <c r="H51" s="53" t="str">
        <f t="shared" si="0"/>
        <v>May</v>
      </c>
      <c r="I51" s="54">
        <f t="shared" ca="1" si="1"/>
        <v>22</v>
      </c>
      <c r="J51" s="55" t="s">
        <v>262</v>
      </c>
      <c r="K51" s="56">
        <v>16560</v>
      </c>
      <c r="L51" s="57">
        <v>3</v>
      </c>
      <c r="M51" s="58"/>
    </row>
    <row r="52" spans="1:17" x14ac:dyDescent="0.25">
      <c r="A52" s="42" t="s">
        <v>326</v>
      </c>
      <c r="B52" s="49" t="s">
        <v>280</v>
      </c>
      <c r="C52" s="42" t="s">
        <v>312</v>
      </c>
      <c r="D52" s="75">
        <v>247276092</v>
      </c>
      <c r="E52" s="76">
        <v>2522636516</v>
      </c>
      <c r="F52" s="42" t="s">
        <v>247</v>
      </c>
      <c r="G52" s="52">
        <v>36120</v>
      </c>
      <c r="H52" s="53" t="str">
        <f t="shared" si="0"/>
        <v>Nov</v>
      </c>
      <c r="I52" s="54">
        <f t="shared" ca="1" si="1"/>
        <v>17</v>
      </c>
      <c r="J52" s="55"/>
      <c r="K52" s="56">
        <v>77270</v>
      </c>
      <c r="L52" s="57">
        <v>2</v>
      </c>
      <c r="M52" s="58"/>
      <c r="P52" s="78"/>
      <c r="Q52" s="78"/>
    </row>
    <row r="53" spans="1:17" x14ac:dyDescent="0.25">
      <c r="A53" s="42" t="s">
        <v>327</v>
      </c>
      <c r="B53" s="49" t="s">
        <v>271</v>
      </c>
      <c r="C53" s="42" t="s">
        <v>312</v>
      </c>
      <c r="D53" s="75">
        <v>459522265</v>
      </c>
      <c r="E53" s="76">
        <v>2524633649</v>
      </c>
      <c r="F53" s="42" t="s">
        <v>256</v>
      </c>
      <c r="G53" s="52">
        <v>34576</v>
      </c>
      <c r="H53" s="53" t="str">
        <f t="shared" si="0"/>
        <v>Aug</v>
      </c>
      <c r="I53" s="54">
        <f t="shared" ca="1" si="1"/>
        <v>22</v>
      </c>
      <c r="J53" s="55" t="s">
        <v>262</v>
      </c>
      <c r="K53" s="56">
        <v>73680</v>
      </c>
      <c r="L53" s="57">
        <v>5</v>
      </c>
      <c r="M53" s="58"/>
    </row>
    <row r="54" spans="1:17" x14ac:dyDescent="0.25">
      <c r="A54" s="42" t="s">
        <v>328</v>
      </c>
      <c r="B54" s="49" t="s">
        <v>245</v>
      </c>
      <c r="C54" s="42" t="s">
        <v>312</v>
      </c>
      <c r="D54" s="75">
        <v>339398339</v>
      </c>
      <c r="E54" s="76">
        <v>2527682821</v>
      </c>
      <c r="F54" s="42" t="s">
        <v>256</v>
      </c>
      <c r="G54" s="52">
        <v>36966</v>
      </c>
      <c r="H54" s="53" t="str">
        <f t="shared" si="0"/>
        <v>Mar</v>
      </c>
      <c r="I54" s="79">
        <f t="shared" ca="1" si="1"/>
        <v>15</v>
      </c>
      <c r="J54" s="80" t="s">
        <v>267</v>
      </c>
      <c r="K54" s="56">
        <v>41740</v>
      </c>
      <c r="L54" s="57">
        <v>4</v>
      </c>
      <c r="M54" s="58"/>
    </row>
    <row r="55" spans="1:17" x14ac:dyDescent="0.25">
      <c r="A55" s="42" t="s">
        <v>329</v>
      </c>
      <c r="B55" s="49" t="s">
        <v>285</v>
      </c>
      <c r="C55" s="42" t="s">
        <v>312</v>
      </c>
      <c r="D55" s="75">
        <v>333947685</v>
      </c>
      <c r="E55" s="76">
        <v>9198314799</v>
      </c>
      <c r="F55" s="42" t="s">
        <v>256</v>
      </c>
      <c r="G55" s="52">
        <v>38349</v>
      </c>
      <c r="H55" s="53" t="str">
        <f t="shared" si="0"/>
        <v>Dec</v>
      </c>
      <c r="I55" s="54">
        <f t="shared" ca="1" si="1"/>
        <v>11</v>
      </c>
      <c r="J55" s="55" t="s">
        <v>262</v>
      </c>
      <c r="K55" s="56">
        <v>103060</v>
      </c>
      <c r="L55" s="57">
        <v>3</v>
      </c>
      <c r="M55" s="58"/>
    </row>
    <row r="56" spans="1:17" x14ac:dyDescent="0.25">
      <c r="A56" s="42" t="s">
        <v>330</v>
      </c>
      <c r="B56" s="49" t="s">
        <v>245</v>
      </c>
      <c r="C56" s="42" t="s">
        <v>312</v>
      </c>
      <c r="D56" s="75">
        <v>721173550</v>
      </c>
      <c r="E56" s="76">
        <v>2528356334</v>
      </c>
      <c r="F56" s="42" t="s">
        <v>256</v>
      </c>
      <c r="G56" s="52">
        <v>34787</v>
      </c>
      <c r="H56" s="53" t="str">
        <f t="shared" si="0"/>
        <v>Mar</v>
      </c>
      <c r="I56" s="54">
        <f t="shared" ca="1" si="1"/>
        <v>21</v>
      </c>
      <c r="J56" s="55" t="s">
        <v>257</v>
      </c>
      <c r="K56" s="56">
        <v>85380</v>
      </c>
      <c r="L56" s="57">
        <v>2</v>
      </c>
      <c r="M56" s="58"/>
    </row>
    <row r="57" spans="1:17" x14ac:dyDescent="0.25">
      <c r="A57" s="42" t="s">
        <v>331</v>
      </c>
      <c r="B57" s="49" t="s">
        <v>285</v>
      </c>
      <c r="C57" s="42" t="s">
        <v>312</v>
      </c>
      <c r="D57" s="75">
        <v>252276921</v>
      </c>
      <c r="E57" s="76">
        <v>2525777345</v>
      </c>
      <c r="F57" s="42" t="s">
        <v>256</v>
      </c>
      <c r="G57" s="52">
        <v>38786</v>
      </c>
      <c r="H57" s="53" t="str">
        <f t="shared" si="0"/>
        <v>Mar</v>
      </c>
      <c r="I57" s="54">
        <f t="shared" ca="1" si="1"/>
        <v>10</v>
      </c>
      <c r="J57" s="55" t="s">
        <v>283</v>
      </c>
      <c r="K57" s="56">
        <v>104740</v>
      </c>
      <c r="L57" s="57">
        <v>4</v>
      </c>
      <c r="M57" s="58"/>
      <c r="P57" s="78"/>
      <c r="Q57" s="78"/>
    </row>
    <row r="58" spans="1:17" x14ac:dyDescent="0.25">
      <c r="A58" s="42" t="s">
        <v>332</v>
      </c>
      <c r="B58" s="49" t="s">
        <v>245</v>
      </c>
      <c r="C58" s="42" t="s">
        <v>312</v>
      </c>
      <c r="D58" s="75">
        <v>393393249</v>
      </c>
      <c r="E58" s="76">
        <v>9194980674</v>
      </c>
      <c r="F58" s="42" t="s">
        <v>247</v>
      </c>
      <c r="G58" s="52">
        <v>37471</v>
      </c>
      <c r="H58" s="53" t="str">
        <f t="shared" si="0"/>
        <v>Aug</v>
      </c>
      <c r="I58" s="54">
        <f t="shared" ca="1" si="1"/>
        <v>14</v>
      </c>
      <c r="J58" s="55"/>
      <c r="K58" s="56">
        <v>28270</v>
      </c>
      <c r="L58" s="57">
        <v>3</v>
      </c>
      <c r="M58" s="58"/>
    </row>
    <row r="59" spans="1:17" x14ac:dyDescent="0.25">
      <c r="A59" s="42" t="s">
        <v>333</v>
      </c>
      <c r="B59" s="49" t="s">
        <v>251</v>
      </c>
      <c r="C59" s="42" t="s">
        <v>312</v>
      </c>
      <c r="D59" s="75">
        <v>344090854</v>
      </c>
      <c r="E59" s="76">
        <v>2523542524</v>
      </c>
      <c r="F59" s="42" t="s">
        <v>256</v>
      </c>
      <c r="G59" s="52">
        <v>36198</v>
      </c>
      <c r="H59" s="53" t="str">
        <f t="shared" si="0"/>
        <v>Feb</v>
      </c>
      <c r="I59" s="54">
        <f t="shared" ca="1" si="1"/>
        <v>17</v>
      </c>
      <c r="J59" s="55" t="s">
        <v>276</v>
      </c>
      <c r="K59" s="56">
        <v>98540</v>
      </c>
      <c r="L59" s="57">
        <v>5</v>
      </c>
      <c r="M59" s="58"/>
      <c r="P59" s="78"/>
      <c r="Q59" s="78"/>
    </row>
    <row r="60" spans="1:17" x14ac:dyDescent="0.25">
      <c r="A60" s="42" t="s">
        <v>334</v>
      </c>
      <c r="B60" s="49" t="s">
        <v>245</v>
      </c>
      <c r="C60" s="42" t="s">
        <v>312</v>
      </c>
      <c r="D60" s="75">
        <v>733413074</v>
      </c>
      <c r="E60" s="76">
        <v>9192224790</v>
      </c>
      <c r="F60" s="42" t="s">
        <v>247</v>
      </c>
      <c r="G60" s="52">
        <v>39971</v>
      </c>
      <c r="H60" s="53" t="str">
        <f t="shared" si="0"/>
        <v>Jun</v>
      </c>
      <c r="I60" s="54">
        <f t="shared" ca="1" si="1"/>
        <v>7</v>
      </c>
      <c r="J60" s="55"/>
      <c r="K60" s="56">
        <v>99680</v>
      </c>
      <c r="L60" s="57">
        <v>3</v>
      </c>
      <c r="M60" s="58"/>
    </row>
    <row r="61" spans="1:17" x14ac:dyDescent="0.25">
      <c r="A61" s="42" t="s">
        <v>335</v>
      </c>
      <c r="B61" s="49" t="s">
        <v>285</v>
      </c>
      <c r="C61" s="42" t="s">
        <v>312</v>
      </c>
      <c r="D61" s="75">
        <v>164904130</v>
      </c>
      <c r="E61" s="76">
        <v>2528046670</v>
      </c>
      <c r="F61" s="42" t="s">
        <v>247</v>
      </c>
      <c r="G61" s="52">
        <v>36570</v>
      </c>
      <c r="H61" s="53" t="str">
        <f t="shared" si="0"/>
        <v>Feb</v>
      </c>
      <c r="I61" s="54">
        <f t="shared" ca="1" si="1"/>
        <v>16</v>
      </c>
      <c r="J61" s="55"/>
      <c r="K61" s="56">
        <v>101040</v>
      </c>
      <c r="L61" s="57">
        <v>2</v>
      </c>
      <c r="M61" s="58"/>
      <c r="N61" s="66"/>
      <c r="O61" s="78"/>
    </row>
    <row r="62" spans="1:17" x14ac:dyDescent="0.25">
      <c r="A62" s="42" t="s">
        <v>336</v>
      </c>
      <c r="B62" s="49" t="s">
        <v>271</v>
      </c>
      <c r="C62" s="42" t="s">
        <v>312</v>
      </c>
      <c r="D62" s="75">
        <v>504735443</v>
      </c>
      <c r="E62" s="76">
        <v>9191629556</v>
      </c>
      <c r="F62" s="42" t="s">
        <v>247</v>
      </c>
      <c r="G62" s="52">
        <v>36903</v>
      </c>
      <c r="H62" s="53" t="str">
        <f t="shared" si="0"/>
        <v>Jan</v>
      </c>
      <c r="I62" s="54">
        <f t="shared" ca="1" si="1"/>
        <v>15</v>
      </c>
      <c r="J62" s="55"/>
      <c r="K62" s="56">
        <v>76010</v>
      </c>
      <c r="L62" s="57">
        <v>3</v>
      </c>
      <c r="M62" s="58"/>
    </row>
    <row r="63" spans="1:17" x14ac:dyDescent="0.25">
      <c r="A63" s="42" t="s">
        <v>337</v>
      </c>
      <c r="B63" s="49" t="s">
        <v>271</v>
      </c>
      <c r="C63" s="42" t="s">
        <v>312</v>
      </c>
      <c r="D63" s="75">
        <v>831188207</v>
      </c>
      <c r="E63" s="76">
        <v>9192121334</v>
      </c>
      <c r="F63" s="42" t="s">
        <v>256</v>
      </c>
      <c r="G63" s="52">
        <v>38242</v>
      </c>
      <c r="H63" s="53" t="str">
        <f t="shared" si="0"/>
        <v>Sep</v>
      </c>
      <c r="I63" s="54">
        <f t="shared" ca="1" si="1"/>
        <v>12</v>
      </c>
      <c r="J63" s="55" t="s">
        <v>257</v>
      </c>
      <c r="K63" s="56">
        <v>86340</v>
      </c>
      <c r="L63" s="57">
        <v>5</v>
      </c>
      <c r="M63" s="58"/>
    </row>
    <row r="64" spans="1:17" x14ac:dyDescent="0.25">
      <c r="A64" s="42" t="s">
        <v>338</v>
      </c>
      <c r="B64" s="49" t="s">
        <v>285</v>
      </c>
      <c r="C64" s="42" t="s">
        <v>312</v>
      </c>
      <c r="D64" s="75">
        <v>856215418</v>
      </c>
      <c r="E64" s="76">
        <v>2526168483</v>
      </c>
      <c r="F64" s="42" t="s">
        <v>252</v>
      </c>
      <c r="G64" s="52">
        <v>37603</v>
      </c>
      <c r="H64" s="53" t="str">
        <f t="shared" si="0"/>
        <v>Dec</v>
      </c>
      <c r="I64" s="54">
        <f t="shared" ca="1" si="1"/>
        <v>13</v>
      </c>
      <c r="J64" s="55"/>
      <c r="K64" s="56">
        <v>36100</v>
      </c>
      <c r="L64" s="57">
        <v>3</v>
      </c>
      <c r="M64" s="58"/>
    </row>
    <row r="65" spans="1:15" x14ac:dyDescent="0.25">
      <c r="A65" s="42" t="s">
        <v>339</v>
      </c>
      <c r="B65" s="49" t="s">
        <v>245</v>
      </c>
      <c r="C65" s="42" t="s">
        <v>312</v>
      </c>
      <c r="D65" s="75">
        <v>822974734</v>
      </c>
      <c r="E65" s="76">
        <v>2524924736</v>
      </c>
      <c r="F65" s="42" t="s">
        <v>252</v>
      </c>
      <c r="G65" s="52">
        <v>37488</v>
      </c>
      <c r="H65" s="53" t="str">
        <f t="shared" si="0"/>
        <v>Aug</v>
      </c>
      <c r="I65" s="54">
        <f t="shared" ca="1" si="1"/>
        <v>14</v>
      </c>
      <c r="J65" s="55"/>
      <c r="K65" s="56">
        <v>39670</v>
      </c>
      <c r="L65" s="57">
        <v>5</v>
      </c>
      <c r="M65" s="58"/>
    </row>
    <row r="66" spans="1:15" x14ac:dyDescent="0.25">
      <c r="A66" s="42" t="s">
        <v>340</v>
      </c>
      <c r="B66" s="49" t="s">
        <v>285</v>
      </c>
      <c r="C66" s="42" t="s">
        <v>312</v>
      </c>
      <c r="D66" s="75">
        <v>129397083</v>
      </c>
      <c r="E66" s="76">
        <v>2521391475</v>
      </c>
      <c r="F66" s="42" t="s">
        <v>256</v>
      </c>
      <c r="G66" s="52">
        <v>41597</v>
      </c>
      <c r="H66" s="53" t="str">
        <f t="shared" ref="H66:H129" si="2">CHOOSE(MONTH(G66),"Jan","Feb","Mar","Apr","May","Jun","Jul","Aug","Sep","Oct","Nov","Dec")</f>
        <v>Nov</v>
      </c>
      <c r="I66" s="54">
        <f t="shared" ref="I66:I129" ca="1" si="3">DATEDIF(G66,TODAY(),"Y")</f>
        <v>2</v>
      </c>
      <c r="J66" s="55" t="s">
        <v>267</v>
      </c>
      <c r="K66" s="56">
        <v>82690</v>
      </c>
      <c r="L66" s="57">
        <v>5</v>
      </c>
      <c r="M66" s="58"/>
    </row>
    <row r="67" spans="1:15" x14ac:dyDescent="0.25">
      <c r="A67" s="42" t="s">
        <v>341</v>
      </c>
      <c r="B67" s="49" t="s">
        <v>245</v>
      </c>
      <c r="C67" s="42" t="s">
        <v>312</v>
      </c>
      <c r="D67" s="75">
        <v>126492342</v>
      </c>
      <c r="E67" s="76">
        <v>9196299247</v>
      </c>
      <c r="F67" s="42" t="s">
        <v>252</v>
      </c>
      <c r="G67" s="52">
        <v>37060</v>
      </c>
      <c r="H67" s="53" t="str">
        <f t="shared" si="2"/>
        <v>Jun</v>
      </c>
      <c r="I67" s="54">
        <f t="shared" ca="1" si="3"/>
        <v>15</v>
      </c>
      <c r="J67" s="55"/>
      <c r="K67" s="56">
        <v>22200</v>
      </c>
      <c r="L67" s="57">
        <v>5</v>
      </c>
      <c r="M67" s="58"/>
    </row>
    <row r="68" spans="1:15" x14ac:dyDescent="0.25">
      <c r="A68" s="42" t="s">
        <v>342</v>
      </c>
      <c r="B68" s="49" t="s">
        <v>285</v>
      </c>
      <c r="C68" s="42" t="s">
        <v>312</v>
      </c>
      <c r="D68" s="75">
        <v>653843221</v>
      </c>
      <c r="E68" s="76">
        <v>9197713771</v>
      </c>
      <c r="F68" s="42" t="s">
        <v>247</v>
      </c>
      <c r="G68" s="52">
        <v>40960</v>
      </c>
      <c r="H68" s="53" t="str">
        <f t="shared" si="2"/>
        <v>Feb</v>
      </c>
      <c r="I68" s="54">
        <f t="shared" ca="1" si="3"/>
        <v>4</v>
      </c>
      <c r="J68" s="55"/>
      <c r="K68" s="56">
        <v>95350</v>
      </c>
      <c r="L68" s="57">
        <v>5</v>
      </c>
      <c r="M68" s="58"/>
    </row>
    <row r="69" spans="1:15" x14ac:dyDescent="0.25">
      <c r="A69" s="42" t="s">
        <v>343</v>
      </c>
      <c r="B69" s="49" t="s">
        <v>271</v>
      </c>
      <c r="C69" s="42" t="s">
        <v>312</v>
      </c>
      <c r="D69" s="75">
        <v>631405285</v>
      </c>
      <c r="E69" s="76">
        <v>2527491979</v>
      </c>
      <c r="F69" s="42" t="s">
        <v>256</v>
      </c>
      <c r="G69" s="52">
        <v>34528</v>
      </c>
      <c r="H69" s="53" t="str">
        <f t="shared" si="2"/>
        <v>Jul</v>
      </c>
      <c r="I69" s="54">
        <f t="shared" ca="1" si="3"/>
        <v>22</v>
      </c>
      <c r="J69" s="55" t="s">
        <v>283</v>
      </c>
      <c r="K69" s="56">
        <v>103100</v>
      </c>
      <c r="L69" s="57">
        <v>4</v>
      </c>
      <c r="M69" s="58"/>
    </row>
    <row r="70" spans="1:15" x14ac:dyDescent="0.25">
      <c r="A70" s="42" t="s">
        <v>344</v>
      </c>
      <c r="B70" s="49" t="s">
        <v>271</v>
      </c>
      <c r="C70" s="42" t="s">
        <v>312</v>
      </c>
      <c r="D70" s="75">
        <v>639314672</v>
      </c>
      <c r="E70" s="76">
        <v>9191919478</v>
      </c>
      <c r="F70" s="42" t="s">
        <v>261</v>
      </c>
      <c r="G70" s="52">
        <v>36843</v>
      </c>
      <c r="H70" s="53" t="str">
        <f t="shared" si="2"/>
        <v>Nov</v>
      </c>
      <c r="I70" s="54">
        <f t="shared" ca="1" si="3"/>
        <v>15</v>
      </c>
      <c r="J70" s="55" t="s">
        <v>276</v>
      </c>
      <c r="K70" s="56">
        <v>28060</v>
      </c>
      <c r="L70" s="57">
        <v>4</v>
      </c>
      <c r="M70" s="58"/>
    </row>
    <row r="71" spans="1:15" x14ac:dyDescent="0.25">
      <c r="A71" s="42" t="s">
        <v>345</v>
      </c>
      <c r="B71" s="49" t="s">
        <v>285</v>
      </c>
      <c r="C71" s="42" t="s">
        <v>312</v>
      </c>
      <c r="D71" s="75">
        <v>349979288</v>
      </c>
      <c r="E71" s="76">
        <v>9194629972</v>
      </c>
      <c r="F71" s="42" t="s">
        <v>256</v>
      </c>
      <c r="G71" s="52">
        <v>38019</v>
      </c>
      <c r="H71" s="53" t="str">
        <f t="shared" si="2"/>
        <v>Feb</v>
      </c>
      <c r="I71" s="54">
        <f t="shared" ca="1" si="3"/>
        <v>12</v>
      </c>
      <c r="J71" s="55" t="s">
        <v>283</v>
      </c>
      <c r="K71" s="56">
        <v>34380</v>
      </c>
      <c r="L71" s="57">
        <v>4</v>
      </c>
      <c r="M71" s="58"/>
    </row>
    <row r="72" spans="1:15" x14ac:dyDescent="0.25">
      <c r="A72" s="42" t="s">
        <v>346</v>
      </c>
      <c r="B72" s="49" t="s">
        <v>245</v>
      </c>
      <c r="C72" s="42" t="s">
        <v>312</v>
      </c>
      <c r="D72" s="75">
        <v>936730279</v>
      </c>
      <c r="E72" s="76">
        <v>2528033253</v>
      </c>
      <c r="F72" s="42" t="s">
        <v>261</v>
      </c>
      <c r="G72" s="52">
        <v>36518</v>
      </c>
      <c r="H72" s="53" t="str">
        <f t="shared" si="2"/>
        <v>Dec</v>
      </c>
      <c r="I72" s="54">
        <f t="shared" ca="1" si="3"/>
        <v>16</v>
      </c>
      <c r="J72" s="55" t="s">
        <v>267</v>
      </c>
      <c r="K72" s="56">
        <v>58100</v>
      </c>
      <c r="L72" s="57">
        <v>4</v>
      </c>
      <c r="M72" s="58"/>
    </row>
    <row r="73" spans="1:15" x14ac:dyDescent="0.25">
      <c r="A73" s="42" t="s">
        <v>347</v>
      </c>
      <c r="B73" s="49" t="s">
        <v>245</v>
      </c>
      <c r="C73" s="42" t="s">
        <v>312</v>
      </c>
      <c r="D73" s="75">
        <v>787156286</v>
      </c>
      <c r="E73" s="76">
        <v>2524588703</v>
      </c>
      <c r="F73" s="42" t="s">
        <v>256</v>
      </c>
      <c r="G73" s="52">
        <v>34349</v>
      </c>
      <c r="H73" s="53" t="str">
        <f t="shared" si="2"/>
        <v>Jan</v>
      </c>
      <c r="I73" s="54">
        <f t="shared" ca="1" si="3"/>
        <v>22</v>
      </c>
      <c r="J73" s="55" t="s">
        <v>276</v>
      </c>
      <c r="K73" s="56">
        <v>59770</v>
      </c>
      <c r="L73" s="57">
        <v>2</v>
      </c>
      <c r="M73" s="58"/>
    </row>
    <row r="74" spans="1:15" x14ac:dyDescent="0.25">
      <c r="A74" s="42" t="s">
        <v>348</v>
      </c>
      <c r="B74" s="49" t="s">
        <v>245</v>
      </c>
      <c r="C74" s="42" t="s">
        <v>312</v>
      </c>
      <c r="D74" s="75">
        <v>474999228</v>
      </c>
      <c r="E74" s="76">
        <v>9193848677</v>
      </c>
      <c r="F74" s="42" t="s">
        <v>247</v>
      </c>
      <c r="G74" s="52">
        <v>37088</v>
      </c>
      <c r="H74" s="53" t="str">
        <f t="shared" si="2"/>
        <v>Jul</v>
      </c>
      <c r="I74" s="54">
        <f t="shared" ca="1" si="3"/>
        <v>15</v>
      </c>
      <c r="J74" s="55"/>
      <c r="K74" s="56">
        <v>92320</v>
      </c>
      <c r="L74" s="57">
        <v>1</v>
      </c>
      <c r="M74" s="58"/>
    </row>
    <row r="75" spans="1:15" x14ac:dyDescent="0.25">
      <c r="A75" s="42" t="s">
        <v>349</v>
      </c>
      <c r="B75" s="49" t="s">
        <v>251</v>
      </c>
      <c r="C75" s="42" t="s">
        <v>312</v>
      </c>
      <c r="D75" s="75">
        <v>403504590</v>
      </c>
      <c r="E75" s="76">
        <v>9192400511</v>
      </c>
      <c r="F75" s="42" t="s">
        <v>247</v>
      </c>
      <c r="G75" s="52">
        <v>34679</v>
      </c>
      <c r="H75" s="53" t="str">
        <f t="shared" si="2"/>
        <v>Dec</v>
      </c>
      <c r="I75" s="54">
        <f t="shared" ca="1" si="3"/>
        <v>21</v>
      </c>
      <c r="J75" s="55"/>
      <c r="K75" s="56">
        <v>77350</v>
      </c>
      <c r="L75" s="57">
        <v>1</v>
      </c>
      <c r="M75" s="58"/>
    </row>
    <row r="76" spans="1:15" x14ac:dyDescent="0.25">
      <c r="A76" s="42" t="s">
        <v>350</v>
      </c>
      <c r="B76" s="49" t="s">
        <v>285</v>
      </c>
      <c r="C76" s="42" t="s">
        <v>312</v>
      </c>
      <c r="D76" s="75">
        <v>951516517</v>
      </c>
      <c r="E76" s="76">
        <v>2524936058</v>
      </c>
      <c r="F76" s="42" t="s">
        <v>256</v>
      </c>
      <c r="G76" s="52">
        <v>34896</v>
      </c>
      <c r="H76" s="53" t="str">
        <f t="shared" si="2"/>
        <v>Jul</v>
      </c>
      <c r="I76" s="54">
        <f t="shared" ca="1" si="3"/>
        <v>21</v>
      </c>
      <c r="J76" s="55" t="s">
        <v>283</v>
      </c>
      <c r="K76" s="56">
        <v>86000</v>
      </c>
      <c r="L76" s="57">
        <v>4</v>
      </c>
      <c r="M76" s="58"/>
    </row>
    <row r="77" spans="1:15" x14ac:dyDescent="0.25">
      <c r="A77" s="42" t="s">
        <v>351</v>
      </c>
      <c r="B77" s="49" t="s">
        <v>271</v>
      </c>
      <c r="C77" s="42" t="s">
        <v>312</v>
      </c>
      <c r="D77" s="75">
        <v>873100939</v>
      </c>
      <c r="E77" s="76">
        <v>9191259179</v>
      </c>
      <c r="F77" s="42" t="s">
        <v>256</v>
      </c>
      <c r="G77" s="52">
        <v>41086</v>
      </c>
      <c r="H77" s="53" t="str">
        <f t="shared" si="2"/>
        <v>Jun</v>
      </c>
      <c r="I77" s="54">
        <f t="shared" ca="1" si="3"/>
        <v>4</v>
      </c>
      <c r="J77" s="55" t="s">
        <v>257</v>
      </c>
      <c r="K77" s="56">
        <v>49790</v>
      </c>
      <c r="L77" s="57">
        <v>5</v>
      </c>
      <c r="M77" s="58"/>
    </row>
    <row r="78" spans="1:15" x14ac:dyDescent="0.25">
      <c r="A78" s="42" t="s">
        <v>352</v>
      </c>
      <c r="B78" s="49" t="s">
        <v>285</v>
      </c>
      <c r="C78" s="42" t="s">
        <v>312</v>
      </c>
      <c r="D78" s="75">
        <v>571120098</v>
      </c>
      <c r="E78" s="76">
        <v>2525789252</v>
      </c>
      <c r="F78" s="42" t="s">
        <v>256</v>
      </c>
      <c r="G78" s="52">
        <v>36830</v>
      </c>
      <c r="H78" s="53" t="str">
        <f t="shared" si="2"/>
        <v>Oct</v>
      </c>
      <c r="I78" s="54">
        <f t="shared" ca="1" si="3"/>
        <v>16</v>
      </c>
      <c r="J78" s="55" t="s">
        <v>257</v>
      </c>
      <c r="K78" s="56">
        <v>73240</v>
      </c>
      <c r="L78" s="57">
        <v>3</v>
      </c>
      <c r="M78" s="58"/>
      <c r="N78" s="66"/>
      <c r="O78" s="78"/>
    </row>
    <row r="79" spans="1:15" x14ac:dyDescent="0.25">
      <c r="A79" s="42" t="s">
        <v>353</v>
      </c>
      <c r="B79" s="49" t="s">
        <v>271</v>
      </c>
      <c r="C79" s="42" t="s">
        <v>312</v>
      </c>
      <c r="D79" s="75">
        <v>627678686</v>
      </c>
      <c r="E79" s="76">
        <v>2526101454</v>
      </c>
      <c r="F79" s="42" t="s">
        <v>247</v>
      </c>
      <c r="G79" s="52">
        <v>36506</v>
      </c>
      <c r="H79" s="53" t="str">
        <f t="shared" si="2"/>
        <v>Dec</v>
      </c>
      <c r="I79" s="54">
        <f t="shared" ca="1" si="3"/>
        <v>16</v>
      </c>
      <c r="J79" s="55"/>
      <c r="K79" s="56">
        <v>89690</v>
      </c>
      <c r="L79" s="57">
        <v>5</v>
      </c>
      <c r="M79" s="58"/>
    </row>
    <row r="80" spans="1:15" x14ac:dyDescent="0.25">
      <c r="A80" s="42" t="s">
        <v>354</v>
      </c>
      <c r="B80" s="49" t="s">
        <v>285</v>
      </c>
      <c r="C80" s="42" t="s">
        <v>312</v>
      </c>
      <c r="D80" s="75">
        <v>667812117</v>
      </c>
      <c r="E80" s="76">
        <v>2526396432</v>
      </c>
      <c r="F80" s="42" t="s">
        <v>256</v>
      </c>
      <c r="G80" s="52">
        <v>34747</v>
      </c>
      <c r="H80" s="53" t="str">
        <f t="shared" si="2"/>
        <v>Feb</v>
      </c>
      <c r="I80" s="54">
        <f t="shared" ca="1" si="3"/>
        <v>21</v>
      </c>
      <c r="J80" s="55" t="s">
        <v>262</v>
      </c>
      <c r="K80" s="56">
        <v>38200</v>
      </c>
      <c r="L80" s="57">
        <v>3</v>
      </c>
      <c r="M80" s="58"/>
    </row>
    <row r="81" spans="1:13" x14ac:dyDescent="0.25">
      <c r="A81" s="42" t="s">
        <v>355</v>
      </c>
      <c r="B81" s="49" t="s">
        <v>271</v>
      </c>
      <c r="C81" s="42" t="s">
        <v>312</v>
      </c>
      <c r="D81" s="75">
        <v>148899089</v>
      </c>
      <c r="E81" s="76">
        <v>2524734960</v>
      </c>
      <c r="F81" s="42" t="s">
        <v>261</v>
      </c>
      <c r="G81" s="52">
        <v>35167</v>
      </c>
      <c r="H81" s="53" t="str">
        <f t="shared" si="2"/>
        <v>Apr</v>
      </c>
      <c r="I81" s="54">
        <f t="shared" ca="1" si="3"/>
        <v>20</v>
      </c>
      <c r="J81" s="55" t="s">
        <v>257</v>
      </c>
      <c r="K81" s="56">
        <v>32270</v>
      </c>
      <c r="L81" s="57">
        <v>3</v>
      </c>
      <c r="M81" s="58"/>
    </row>
    <row r="82" spans="1:13" x14ac:dyDescent="0.25">
      <c r="A82" s="42" t="s">
        <v>356</v>
      </c>
      <c r="B82" s="49" t="s">
        <v>285</v>
      </c>
      <c r="C82" s="42" t="s">
        <v>312</v>
      </c>
      <c r="D82" s="75">
        <v>411058865</v>
      </c>
      <c r="E82" s="76">
        <v>2523883919</v>
      </c>
      <c r="F82" s="42" t="s">
        <v>256</v>
      </c>
      <c r="G82" s="52">
        <v>38009</v>
      </c>
      <c r="H82" s="53" t="str">
        <f t="shared" si="2"/>
        <v>Jan</v>
      </c>
      <c r="I82" s="54">
        <f t="shared" ca="1" si="3"/>
        <v>12</v>
      </c>
      <c r="J82" s="55" t="s">
        <v>257</v>
      </c>
      <c r="K82" s="56">
        <v>32620</v>
      </c>
      <c r="L82" s="57">
        <v>4</v>
      </c>
      <c r="M82" s="58"/>
    </row>
    <row r="83" spans="1:13" x14ac:dyDescent="0.25">
      <c r="A83" s="42" t="s">
        <v>357</v>
      </c>
      <c r="B83" s="49" t="s">
        <v>285</v>
      </c>
      <c r="C83" s="42" t="s">
        <v>312</v>
      </c>
      <c r="D83" s="75">
        <v>870106287</v>
      </c>
      <c r="E83" s="76">
        <v>2528611970</v>
      </c>
      <c r="F83" s="42" t="s">
        <v>261</v>
      </c>
      <c r="G83" s="52">
        <v>35549</v>
      </c>
      <c r="H83" s="53" t="str">
        <f t="shared" si="2"/>
        <v>Apr</v>
      </c>
      <c r="I83" s="54">
        <f t="shared" ca="1" si="3"/>
        <v>19</v>
      </c>
      <c r="J83" s="55" t="s">
        <v>276</v>
      </c>
      <c r="K83" s="56">
        <v>46700</v>
      </c>
      <c r="L83" s="57">
        <v>4</v>
      </c>
      <c r="M83" s="58"/>
    </row>
    <row r="84" spans="1:13" x14ac:dyDescent="0.25">
      <c r="A84" s="42" t="s">
        <v>358</v>
      </c>
      <c r="B84" s="49" t="s">
        <v>266</v>
      </c>
      <c r="C84" s="42" t="s">
        <v>312</v>
      </c>
      <c r="D84" s="75">
        <v>867671341</v>
      </c>
      <c r="E84" s="76">
        <v>2528317543</v>
      </c>
      <c r="F84" s="42" t="s">
        <v>261</v>
      </c>
      <c r="G84" s="52">
        <v>37897</v>
      </c>
      <c r="H84" s="53" t="str">
        <f t="shared" si="2"/>
        <v>Oct</v>
      </c>
      <c r="I84" s="54">
        <f t="shared" ca="1" si="3"/>
        <v>13</v>
      </c>
      <c r="J84" s="55" t="s">
        <v>257</v>
      </c>
      <c r="K84" s="56">
        <v>42340</v>
      </c>
      <c r="L84" s="57">
        <v>3</v>
      </c>
      <c r="M84" s="58"/>
    </row>
    <row r="85" spans="1:13" x14ac:dyDescent="0.25">
      <c r="A85" s="42" t="s">
        <v>359</v>
      </c>
      <c r="B85" s="49" t="s">
        <v>245</v>
      </c>
      <c r="C85" s="42" t="s">
        <v>312</v>
      </c>
      <c r="D85" s="75">
        <v>676534152</v>
      </c>
      <c r="E85" s="76">
        <v>9194416232</v>
      </c>
      <c r="F85" s="42" t="s">
        <v>256</v>
      </c>
      <c r="G85" s="52">
        <v>41293</v>
      </c>
      <c r="H85" s="53" t="str">
        <f t="shared" si="2"/>
        <v>Jan</v>
      </c>
      <c r="I85" s="54">
        <f t="shared" ca="1" si="3"/>
        <v>3</v>
      </c>
      <c r="J85" s="55" t="s">
        <v>257</v>
      </c>
      <c r="K85" s="56">
        <v>27940</v>
      </c>
      <c r="L85" s="57">
        <v>1</v>
      </c>
      <c r="M85" s="58"/>
    </row>
    <row r="86" spans="1:13" x14ac:dyDescent="0.25">
      <c r="A86" s="42" t="s">
        <v>360</v>
      </c>
      <c r="B86" s="49" t="s">
        <v>285</v>
      </c>
      <c r="C86" s="42" t="s">
        <v>312</v>
      </c>
      <c r="D86" s="75">
        <v>427811310</v>
      </c>
      <c r="E86" s="76">
        <v>9191362796</v>
      </c>
      <c r="F86" s="42" t="s">
        <v>247</v>
      </c>
      <c r="G86" s="52">
        <v>36256</v>
      </c>
      <c r="H86" s="53" t="str">
        <f t="shared" si="2"/>
        <v>Apr</v>
      </c>
      <c r="I86" s="54">
        <f t="shared" ca="1" si="3"/>
        <v>17</v>
      </c>
      <c r="J86" s="55"/>
      <c r="K86" s="56">
        <v>107170</v>
      </c>
      <c r="L86" s="57">
        <v>5</v>
      </c>
      <c r="M86" s="58"/>
    </row>
    <row r="87" spans="1:13" x14ac:dyDescent="0.25">
      <c r="A87" s="42" t="s">
        <v>361</v>
      </c>
      <c r="B87" s="49" t="s">
        <v>271</v>
      </c>
      <c r="C87" s="42" t="s">
        <v>312</v>
      </c>
      <c r="D87" s="75">
        <v>721169660</v>
      </c>
      <c r="E87" s="76">
        <v>2526711140</v>
      </c>
      <c r="F87" s="42" t="s">
        <v>256</v>
      </c>
      <c r="G87" s="52">
        <v>41275</v>
      </c>
      <c r="H87" s="53" t="str">
        <f t="shared" si="2"/>
        <v>Jan</v>
      </c>
      <c r="I87" s="54">
        <f t="shared" ca="1" si="3"/>
        <v>3</v>
      </c>
      <c r="J87" s="55" t="s">
        <v>262</v>
      </c>
      <c r="K87" s="56">
        <v>46480</v>
      </c>
      <c r="L87" s="57">
        <v>1</v>
      </c>
      <c r="M87" s="58"/>
    </row>
    <row r="88" spans="1:13" x14ac:dyDescent="0.25">
      <c r="A88" s="42" t="s">
        <v>362</v>
      </c>
      <c r="B88" s="49" t="s">
        <v>266</v>
      </c>
      <c r="C88" s="42" t="s">
        <v>312</v>
      </c>
      <c r="D88" s="75">
        <v>600458368</v>
      </c>
      <c r="E88" s="76">
        <v>9197280453</v>
      </c>
      <c r="F88" s="42" t="s">
        <v>261</v>
      </c>
      <c r="G88" s="52">
        <v>40803</v>
      </c>
      <c r="H88" s="53" t="str">
        <f t="shared" si="2"/>
        <v>Sep</v>
      </c>
      <c r="I88" s="54">
        <f t="shared" ca="1" si="3"/>
        <v>5</v>
      </c>
      <c r="J88" s="55" t="s">
        <v>276</v>
      </c>
      <c r="K88" s="56">
        <v>27040</v>
      </c>
      <c r="L88" s="57">
        <v>3</v>
      </c>
      <c r="M88" s="58"/>
    </row>
    <row r="89" spans="1:13" x14ac:dyDescent="0.25">
      <c r="A89" s="42" t="s">
        <v>363</v>
      </c>
      <c r="B89" s="49" t="s">
        <v>280</v>
      </c>
      <c r="C89" s="42" t="s">
        <v>312</v>
      </c>
      <c r="D89" s="75">
        <v>683222853</v>
      </c>
      <c r="E89" s="76">
        <v>9196224056</v>
      </c>
      <c r="F89" s="42" t="s">
        <v>247</v>
      </c>
      <c r="G89" s="52">
        <v>40923</v>
      </c>
      <c r="H89" s="53" t="str">
        <f t="shared" si="2"/>
        <v>Jan</v>
      </c>
      <c r="I89" s="54">
        <f t="shared" ca="1" si="3"/>
        <v>4</v>
      </c>
      <c r="J89" s="55"/>
      <c r="K89" s="56">
        <v>30950</v>
      </c>
      <c r="L89" s="57">
        <v>3</v>
      </c>
      <c r="M89" s="58"/>
    </row>
    <row r="90" spans="1:13" x14ac:dyDescent="0.25">
      <c r="A90" s="42" t="s">
        <v>364</v>
      </c>
      <c r="B90" s="49" t="s">
        <v>266</v>
      </c>
      <c r="C90" s="42" t="s">
        <v>312</v>
      </c>
      <c r="D90" s="75">
        <v>267218084</v>
      </c>
      <c r="E90" s="76">
        <v>9193825834</v>
      </c>
      <c r="F90" s="42" t="s">
        <v>247</v>
      </c>
      <c r="G90" s="52">
        <v>36941</v>
      </c>
      <c r="H90" s="53" t="str">
        <f t="shared" si="2"/>
        <v>Feb</v>
      </c>
      <c r="I90" s="54">
        <f t="shared" ca="1" si="3"/>
        <v>15</v>
      </c>
      <c r="J90" s="55"/>
      <c r="K90" s="56">
        <v>105600</v>
      </c>
      <c r="L90" s="57">
        <v>5</v>
      </c>
      <c r="M90" s="58"/>
    </row>
    <row r="91" spans="1:13" x14ac:dyDescent="0.25">
      <c r="A91" s="42" t="s">
        <v>365</v>
      </c>
      <c r="B91" s="49" t="s">
        <v>251</v>
      </c>
      <c r="C91" s="42" t="s">
        <v>312</v>
      </c>
      <c r="D91" s="75">
        <v>877122222</v>
      </c>
      <c r="E91" s="76">
        <v>9195511103</v>
      </c>
      <c r="F91" s="42" t="s">
        <v>256</v>
      </c>
      <c r="G91" s="52">
        <v>41576</v>
      </c>
      <c r="H91" s="53" t="str">
        <f t="shared" si="2"/>
        <v>Oct</v>
      </c>
      <c r="I91" s="54">
        <f t="shared" ca="1" si="3"/>
        <v>3</v>
      </c>
      <c r="J91" s="55" t="s">
        <v>276</v>
      </c>
      <c r="K91" s="56">
        <v>89650</v>
      </c>
      <c r="L91" s="57">
        <v>2</v>
      </c>
      <c r="M91" s="58"/>
    </row>
    <row r="92" spans="1:13" x14ac:dyDescent="0.25">
      <c r="A92" s="42" t="s">
        <v>366</v>
      </c>
      <c r="B92" s="49" t="s">
        <v>245</v>
      </c>
      <c r="C92" s="42" t="s">
        <v>312</v>
      </c>
      <c r="D92" s="75">
        <v>841913875</v>
      </c>
      <c r="E92" s="76">
        <v>2522511732</v>
      </c>
      <c r="F92" s="42" t="s">
        <v>247</v>
      </c>
      <c r="G92" s="52">
        <v>36161</v>
      </c>
      <c r="H92" s="53" t="str">
        <f t="shared" si="2"/>
        <v>Jan</v>
      </c>
      <c r="I92" s="54">
        <f t="shared" ca="1" si="3"/>
        <v>17</v>
      </c>
      <c r="J92" s="55"/>
      <c r="K92" s="56">
        <v>60660</v>
      </c>
      <c r="L92" s="57">
        <v>2</v>
      </c>
      <c r="M92" s="58"/>
    </row>
    <row r="93" spans="1:13" x14ac:dyDescent="0.25">
      <c r="A93" s="42" t="s">
        <v>367</v>
      </c>
      <c r="B93" s="49" t="s">
        <v>245</v>
      </c>
      <c r="C93" s="42" t="s">
        <v>312</v>
      </c>
      <c r="D93" s="75">
        <v>648911225</v>
      </c>
      <c r="E93" s="76">
        <v>2525829090</v>
      </c>
      <c r="F93" s="42" t="s">
        <v>247</v>
      </c>
      <c r="G93" s="52">
        <v>34982</v>
      </c>
      <c r="H93" s="53" t="str">
        <f t="shared" si="2"/>
        <v>Oct</v>
      </c>
      <c r="I93" s="54">
        <f t="shared" ca="1" si="3"/>
        <v>21</v>
      </c>
      <c r="J93" s="55"/>
      <c r="K93" s="56">
        <v>99620</v>
      </c>
      <c r="L93" s="57">
        <v>4</v>
      </c>
      <c r="M93" s="58"/>
    </row>
    <row r="94" spans="1:13" x14ac:dyDescent="0.25">
      <c r="A94" s="42" t="s">
        <v>368</v>
      </c>
      <c r="B94" s="49" t="s">
        <v>285</v>
      </c>
      <c r="C94" s="42" t="s">
        <v>312</v>
      </c>
      <c r="D94" s="75">
        <v>496260023</v>
      </c>
      <c r="E94" s="76">
        <v>2523962015</v>
      </c>
      <c r="F94" s="42" t="s">
        <v>256</v>
      </c>
      <c r="G94" s="52">
        <v>35475</v>
      </c>
      <c r="H94" s="53" t="str">
        <f t="shared" si="2"/>
        <v>Feb</v>
      </c>
      <c r="I94" s="54">
        <f t="shared" ca="1" si="3"/>
        <v>19</v>
      </c>
      <c r="J94" s="55" t="s">
        <v>262</v>
      </c>
      <c r="K94" s="56">
        <v>89600</v>
      </c>
      <c r="L94" s="57">
        <v>5</v>
      </c>
      <c r="M94" s="58"/>
    </row>
    <row r="95" spans="1:13" x14ac:dyDescent="0.25">
      <c r="A95" s="42" t="s">
        <v>369</v>
      </c>
      <c r="B95" s="49" t="s">
        <v>245</v>
      </c>
      <c r="C95" s="42" t="s">
        <v>312</v>
      </c>
      <c r="D95" s="75">
        <v>415228597</v>
      </c>
      <c r="E95" s="76">
        <v>9196252690</v>
      </c>
      <c r="F95" s="42" t="s">
        <v>256</v>
      </c>
      <c r="G95" s="52">
        <v>36668</v>
      </c>
      <c r="H95" s="53" t="str">
        <f t="shared" si="2"/>
        <v>May</v>
      </c>
      <c r="I95" s="54">
        <f t="shared" ca="1" si="3"/>
        <v>16</v>
      </c>
      <c r="J95" s="55" t="s">
        <v>257</v>
      </c>
      <c r="K95" s="56">
        <v>49100</v>
      </c>
      <c r="L95" s="57">
        <v>4</v>
      </c>
      <c r="M95" s="58"/>
    </row>
    <row r="96" spans="1:13" x14ac:dyDescent="0.25">
      <c r="A96" s="42" t="s">
        <v>370</v>
      </c>
      <c r="B96" s="49" t="s">
        <v>285</v>
      </c>
      <c r="C96" s="42" t="s">
        <v>312</v>
      </c>
      <c r="D96" s="75">
        <v>644862142</v>
      </c>
      <c r="E96" s="76">
        <v>9193274978</v>
      </c>
      <c r="F96" s="42" t="s">
        <v>247</v>
      </c>
      <c r="G96" s="52">
        <v>35652</v>
      </c>
      <c r="H96" s="53" t="str">
        <f t="shared" si="2"/>
        <v>Aug</v>
      </c>
      <c r="I96" s="54">
        <f t="shared" ca="1" si="3"/>
        <v>19</v>
      </c>
      <c r="J96" s="55"/>
      <c r="K96" s="56">
        <v>56000</v>
      </c>
      <c r="L96" s="57">
        <v>3</v>
      </c>
      <c r="M96" s="58"/>
    </row>
    <row r="97" spans="1:15" x14ac:dyDescent="0.25">
      <c r="A97" s="42" t="s">
        <v>371</v>
      </c>
      <c r="B97" s="49" t="s">
        <v>251</v>
      </c>
      <c r="C97" s="42" t="s">
        <v>372</v>
      </c>
      <c r="D97" s="75">
        <v>640301378</v>
      </c>
      <c r="E97" s="76">
        <v>2524663056</v>
      </c>
      <c r="F97" s="42" t="s">
        <v>261</v>
      </c>
      <c r="G97" s="52">
        <v>41506</v>
      </c>
      <c r="H97" s="53" t="str">
        <f t="shared" si="2"/>
        <v>Aug</v>
      </c>
      <c r="I97" s="54">
        <f t="shared" ca="1" si="3"/>
        <v>3</v>
      </c>
      <c r="J97" s="55" t="s">
        <v>283</v>
      </c>
      <c r="K97" s="56">
        <v>55480</v>
      </c>
      <c r="L97" s="57">
        <v>2</v>
      </c>
      <c r="M97" s="58"/>
      <c r="O97" s="78"/>
    </row>
    <row r="98" spans="1:15" x14ac:dyDescent="0.25">
      <c r="A98" s="42" t="s">
        <v>373</v>
      </c>
      <c r="B98" s="49" t="s">
        <v>271</v>
      </c>
      <c r="C98" s="42" t="s">
        <v>372</v>
      </c>
      <c r="D98" s="75">
        <v>759350847</v>
      </c>
      <c r="E98" s="76">
        <v>2527474942</v>
      </c>
      <c r="F98" s="42" t="s">
        <v>256</v>
      </c>
      <c r="G98" s="52">
        <v>39398</v>
      </c>
      <c r="H98" s="53" t="str">
        <f t="shared" si="2"/>
        <v>Nov</v>
      </c>
      <c r="I98" s="54">
        <f t="shared" ca="1" si="3"/>
        <v>8</v>
      </c>
      <c r="J98" s="55" t="s">
        <v>257</v>
      </c>
      <c r="K98" s="56">
        <v>43960</v>
      </c>
      <c r="L98" s="57">
        <v>4</v>
      </c>
      <c r="M98" s="58"/>
    </row>
    <row r="99" spans="1:15" x14ac:dyDescent="0.25">
      <c r="A99" s="42" t="s">
        <v>374</v>
      </c>
      <c r="B99" s="49" t="s">
        <v>285</v>
      </c>
      <c r="C99" s="42" t="s">
        <v>372</v>
      </c>
      <c r="D99" s="75">
        <v>920505896</v>
      </c>
      <c r="E99" s="76">
        <v>2523173691</v>
      </c>
      <c r="F99" s="42" t="s">
        <v>247</v>
      </c>
      <c r="G99" s="52">
        <v>39756</v>
      </c>
      <c r="H99" s="53" t="str">
        <f t="shared" si="2"/>
        <v>Nov</v>
      </c>
      <c r="I99" s="54">
        <f t="shared" ca="1" si="3"/>
        <v>8</v>
      </c>
      <c r="J99" s="55"/>
      <c r="K99" s="56">
        <v>94630</v>
      </c>
      <c r="L99" s="57">
        <v>2</v>
      </c>
      <c r="M99" s="58"/>
    </row>
    <row r="100" spans="1:15" x14ac:dyDescent="0.25">
      <c r="A100" s="42" t="s">
        <v>375</v>
      </c>
      <c r="B100" s="49" t="s">
        <v>285</v>
      </c>
      <c r="C100" s="42" t="s">
        <v>372</v>
      </c>
      <c r="D100" s="75">
        <v>272036635</v>
      </c>
      <c r="E100" s="76">
        <v>2521656242</v>
      </c>
      <c r="F100" s="42" t="s">
        <v>256</v>
      </c>
      <c r="G100" s="52">
        <v>38884</v>
      </c>
      <c r="H100" s="53" t="str">
        <f t="shared" si="2"/>
        <v>Jun</v>
      </c>
      <c r="I100" s="54">
        <f t="shared" ca="1" si="3"/>
        <v>10</v>
      </c>
      <c r="J100" s="55" t="s">
        <v>257</v>
      </c>
      <c r="K100" s="56">
        <v>103840</v>
      </c>
      <c r="L100" s="57">
        <v>1</v>
      </c>
      <c r="M100" s="58"/>
    </row>
    <row r="101" spans="1:15" x14ac:dyDescent="0.25">
      <c r="A101" s="42" t="s">
        <v>376</v>
      </c>
      <c r="B101" s="49" t="s">
        <v>285</v>
      </c>
      <c r="C101" s="42" t="s">
        <v>372</v>
      </c>
      <c r="D101" s="75">
        <v>207506781</v>
      </c>
      <c r="E101" s="76">
        <v>9194125294</v>
      </c>
      <c r="F101" s="42" t="s">
        <v>256</v>
      </c>
      <c r="G101" s="52">
        <v>40924</v>
      </c>
      <c r="H101" s="53" t="str">
        <f t="shared" si="2"/>
        <v>Jan</v>
      </c>
      <c r="I101" s="54">
        <f t="shared" ca="1" si="3"/>
        <v>4</v>
      </c>
      <c r="J101" s="55" t="s">
        <v>257</v>
      </c>
      <c r="K101" s="56">
        <v>91730</v>
      </c>
      <c r="L101" s="57">
        <v>3</v>
      </c>
      <c r="M101" s="58"/>
    </row>
    <row r="102" spans="1:15" x14ac:dyDescent="0.25">
      <c r="A102" s="42" t="s">
        <v>377</v>
      </c>
      <c r="B102" s="49" t="s">
        <v>271</v>
      </c>
      <c r="C102" s="42" t="s">
        <v>372</v>
      </c>
      <c r="D102" s="75">
        <v>106966222</v>
      </c>
      <c r="E102" s="76">
        <v>9198310129</v>
      </c>
      <c r="F102" s="42" t="s">
        <v>247</v>
      </c>
      <c r="G102" s="52">
        <v>40530</v>
      </c>
      <c r="H102" s="53" t="str">
        <f t="shared" si="2"/>
        <v>Dec</v>
      </c>
      <c r="I102" s="54">
        <f t="shared" ca="1" si="3"/>
        <v>5</v>
      </c>
      <c r="J102" s="55"/>
      <c r="K102" s="56">
        <v>42740</v>
      </c>
      <c r="L102" s="57">
        <v>4</v>
      </c>
      <c r="M102" s="58"/>
    </row>
    <row r="103" spans="1:15" x14ac:dyDescent="0.25">
      <c r="A103" s="42" t="s">
        <v>378</v>
      </c>
      <c r="B103" s="49" t="s">
        <v>285</v>
      </c>
      <c r="C103" s="42" t="s">
        <v>372</v>
      </c>
      <c r="D103" s="75">
        <v>495042805</v>
      </c>
      <c r="E103" s="76">
        <v>9197146686</v>
      </c>
      <c r="F103" s="42" t="s">
        <v>247</v>
      </c>
      <c r="G103" s="52">
        <v>41254</v>
      </c>
      <c r="H103" s="53" t="str">
        <f t="shared" si="2"/>
        <v>Dec</v>
      </c>
      <c r="I103" s="54">
        <f t="shared" ca="1" si="3"/>
        <v>3</v>
      </c>
      <c r="J103" s="55"/>
      <c r="K103" s="56">
        <v>71220</v>
      </c>
      <c r="L103" s="57">
        <v>5</v>
      </c>
      <c r="M103" s="58"/>
    </row>
    <row r="104" spans="1:15" x14ac:dyDescent="0.25">
      <c r="A104" s="42" t="s">
        <v>379</v>
      </c>
      <c r="B104" s="49" t="s">
        <v>280</v>
      </c>
      <c r="C104" s="42" t="s">
        <v>372</v>
      </c>
      <c r="D104" s="75">
        <v>676831149</v>
      </c>
      <c r="E104" s="76">
        <v>9192824485</v>
      </c>
      <c r="F104" s="42" t="s">
        <v>256</v>
      </c>
      <c r="G104" s="52">
        <v>40389</v>
      </c>
      <c r="H104" s="53" t="str">
        <f t="shared" si="2"/>
        <v>Jul</v>
      </c>
      <c r="I104" s="54">
        <f t="shared" ca="1" si="3"/>
        <v>6</v>
      </c>
      <c r="J104" s="55" t="s">
        <v>257</v>
      </c>
      <c r="K104" s="56">
        <v>85340</v>
      </c>
      <c r="L104" s="57">
        <v>4</v>
      </c>
      <c r="M104" s="58"/>
    </row>
    <row r="105" spans="1:15" x14ac:dyDescent="0.25">
      <c r="A105" s="42" t="s">
        <v>380</v>
      </c>
      <c r="B105" s="49" t="s">
        <v>285</v>
      </c>
      <c r="C105" s="42" t="s">
        <v>381</v>
      </c>
      <c r="D105" s="75">
        <v>124203063</v>
      </c>
      <c r="E105" s="76">
        <v>9192229885</v>
      </c>
      <c r="F105" s="42" t="s">
        <v>261</v>
      </c>
      <c r="G105" s="52">
        <v>41573</v>
      </c>
      <c r="H105" s="53" t="str">
        <f t="shared" si="2"/>
        <v>Oct</v>
      </c>
      <c r="I105" s="54">
        <f t="shared" ca="1" si="3"/>
        <v>3</v>
      </c>
      <c r="J105" s="55" t="s">
        <v>283</v>
      </c>
      <c r="K105" s="56">
        <v>12620</v>
      </c>
      <c r="L105" s="57">
        <v>4</v>
      </c>
      <c r="M105" s="58"/>
      <c r="O105" s="78"/>
    </row>
    <row r="106" spans="1:15" x14ac:dyDescent="0.25">
      <c r="A106" s="42" t="s">
        <v>382</v>
      </c>
      <c r="B106" s="49" t="s">
        <v>271</v>
      </c>
      <c r="C106" s="42" t="s">
        <v>381</v>
      </c>
      <c r="D106" s="75">
        <v>925049144</v>
      </c>
      <c r="E106" s="76">
        <v>2524752921</v>
      </c>
      <c r="F106" s="42" t="s">
        <v>256</v>
      </c>
      <c r="G106" s="52">
        <v>37250</v>
      </c>
      <c r="H106" s="53" t="str">
        <f t="shared" si="2"/>
        <v>Dec</v>
      </c>
      <c r="I106" s="54">
        <f t="shared" ca="1" si="3"/>
        <v>14</v>
      </c>
      <c r="J106" s="55" t="s">
        <v>257</v>
      </c>
      <c r="K106" s="56">
        <v>59830</v>
      </c>
      <c r="L106" s="57">
        <v>2</v>
      </c>
      <c r="M106" s="58"/>
    </row>
    <row r="107" spans="1:15" x14ac:dyDescent="0.25">
      <c r="A107" s="42" t="s">
        <v>383</v>
      </c>
      <c r="B107" s="49" t="s">
        <v>280</v>
      </c>
      <c r="C107" s="42" t="s">
        <v>381</v>
      </c>
      <c r="D107" s="75">
        <v>313651312</v>
      </c>
      <c r="E107" s="76">
        <v>2526092172</v>
      </c>
      <c r="F107" s="42" t="s">
        <v>256</v>
      </c>
      <c r="G107" s="52">
        <v>37183</v>
      </c>
      <c r="H107" s="53" t="str">
        <f t="shared" si="2"/>
        <v>Oct</v>
      </c>
      <c r="I107" s="54">
        <f t="shared" ca="1" si="3"/>
        <v>15</v>
      </c>
      <c r="J107" s="55" t="s">
        <v>283</v>
      </c>
      <c r="K107" s="56">
        <v>81960</v>
      </c>
      <c r="L107" s="57">
        <v>5</v>
      </c>
      <c r="M107" s="58"/>
    </row>
    <row r="108" spans="1:15" x14ac:dyDescent="0.25">
      <c r="A108" s="42" t="s">
        <v>384</v>
      </c>
      <c r="B108" s="49" t="s">
        <v>271</v>
      </c>
      <c r="C108" s="42" t="s">
        <v>381</v>
      </c>
      <c r="D108" s="75">
        <v>324622113</v>
      </c>
      <c r="E108" s="76">
        <v>9198824849</v>
      </c>
      <c r="F108" s="42" t="s">
        <v>261</v>
      </c>
      <c r="G108" s="52">
        <v>41517</v>
      </c>
      <c r="H108" s="53" t="str">
        <f t="shared" si="2"/>
        <v>Aug</v>
      </c>
      <c r="I108" s="54">
        <f t="shared" ca="1" si="3"/>
        <v>3</v>
      </c>
      <c r="J108" s="55" t="s">
        <v>283</v>
      </c>
      <c r="K108" s="56">
        <v>34350</v>
      </c>
      <c r="L108" s="57">
        <v>1</v>
      </c>
      <c r="M108" s="58"/>
      <c r="O108" s="78"/>
    </row>
    <row r="109" spans="1:15" x14ac:dyDescent="0.25">
      <c r="A109" s="42" t="s">
        <v>385</v>
      </c>
      <c r="B109" s="49" t="s">
        <v>271</v>
      </c>
      <c r="C109" s="42" t="s">
        <v>381</v>
      </c>
      <c r="D109" s="75">
        <v>651995963</v>
      </c>
      <c r="E109" s="76">
        <v>9194944945</v>
      </c>
      <c r="F109" s="42" t="s">
        <v>252</v>
      </c>
      <c r="G109" s="52">
        <v>41314</v>
      </c>
      <c r="H109" s="53" t="str">
        <f t="shared" si="2"/>
        <v>Feb</v>
      </c>
      <c r="I109" s="54">
        <f t="shared" ca="1" si="3"/>
        <v>3</v>
      </c>
      <c r="J109" s="55"/>
      <c r="K109" s="56">
        <v>32980</v>
      </c>
      <c r="L109" s="57">
        <v>4</v>
      </c>
      <c r="M109" s="58"/>
      <c r="O109" s="78"/>
    </row>
    <row r="110" spans="1:15" x14ac:dyDescent="0.25">
      <c r="A110" s="42" t="s">
        <v>386</v>
      </c>
      <c r="B110" s="49" t="s">
        <v>266</v>
      </c>
      <c r="C110" s="42" t="s">
        <v>381</v>
      </c>
      <c r="D110" s="75">
        <v>452692136</v>
      </c>
      <c r="E110" s="76">
        <v>2524106437</v>
      </c>
      <c r="F110" s="42" t="s">
        <v>256</v>
      </c>
      <c r="G110" s="52">
        <v>36515</v>
      </c>
      <c r="H110" s="53" t="str">
        <f t="shared" si="2"/>
        <v>Dec</v>
      </c>
      <c r="I110" s="54">
        <f t="shared" ca="1" si="3"/>
        <v>16</v>
      </c>
      <c r="J110" s="55" t="s">
        <v>267</v>
      </c>
      <c r="K110" s="56">
        <v>31810</v>
      </c>
      <c r="L110" s="57">
        <v>1</v>
      </c>
      <c r="M110" s="58"/>
    </row>
    <row r="111" spans="1:15" x14ac:dyDescent="0.25">
      <c r="A111" s="42" t="s">
        <v>387</v>
      </c>
      <c r="B111" s="49" t="s">
        <v>285</v>
      </c>
      <c r="C111" s="42" t="s">
        <v>381</v>
      </c>
      <c r="D111" s="75">
        <v>510190628</v>
      </c>
      <c r="E111" s="76">
        <v>2527405629</v>
      </c>
      <c r="F111" s="42" t="s">
        <v>256</v>
      </c>
      <c r="G111" s="52">
        <v>40148</v>
      </c>
      <c r="H111" s="53" t="str">
        <f t="shared" si="2"/>
        <v>Dec</v>
      </c>
      <c r="I111" s="54">
        <f t="shared" ca="1" si="3"/>
        <v>6</v>
      </c>
      <c r="J111" s="55" t="s">
        <v>283</v>
      </c>
      <c r="K111" s="56">
        <v>52420</v>
      </c>
      <c r="L111" s="57">
        <v>5</v>
      </c>
      <c r="M111" s="58"/>
    </row>
    <row r="112" spans="1:15" x14ac:dyDescent="0.25">
      <c r="A112" s="42" t="s">
        <v>388</v>
      </c>
      <c r="B112" s="49" t="s">
        <v>285</v>
      </c>
      <c r="C112" s="42" t="s">
        <v>381</v>
      </c>
      <c r="D112" s="75">
        <v>405297884</v>
      </c>
      <c r="E112" s="76">
        <v>2524747044</v>
      </c>
      <c r="F112" s="42" t="s">
        <v>256</v>
      </c>
      <c r="G112" s="52">
        <v>34072</v>
      </c>
      <c r="H112" s="53" t="str">
        <f t="shared" si="2"/>
        <v>Apr</v>
      </c>
      <c r="I112" s="54">
        <f t="shared" ca="1" si="3"/>
        <v>23</v>
      </c>
      <c r="J112" s="55" t="s">
        <v>283</v>
      </c>
      <c r="K112" s="56">
        <v>82870</v>
      </c>
      <c r="L112" s="57">
        <v>1</v>
      </c>
      <c r="M112" s="58"/>
    </row>
    <row r="113" spans="1:15" x14ac:dyDescent="0.25">
      <c r="A113" s="42" t="s">
        <v>389</v>
      </c>
      <c r="B113" s="49" t="s">
        <v>271</v>
      </c>
      <c r="C113" s="42" t="s">
        <v>381</v>
      </c>
      <c r="D113" s="75">
        <v>943671719</v>
      </c>
      <c r="E113" s="76">
        <v>9193517837</v>
      </c>
      <c r="F113" s="42" t="s">
        <v>256</v>
      </c>
      <c r="G113" s="52">
        <v>36450</v>
      </c>
      <c r="H113" s="53" t="str">
        <f t="shared" si="2"/>
        <v>Oct</v>
      </c>
      <c r="I113" s="54">
        <f t="shared" ca="1" si="3"/>
        <v>17</v>
      </c>
      <c r="J113" s="55" t="s">
        <v>283</v>
      </c>
      <c r="K113" s="56">
        <v>27500</v>
      </c>
      <c r="L113" s="57">
        <v>3</v>
      </c>
      <c r="M113" s="58"/>
    </row>
    <row r="114" spans="1:15" x14ac:dyDescent="0.25">
      <c r="A114" s="42" t="s">
        <v>390</v>
      </c>
      <c r="B114" s="49" t="s">
        <v>271</v>
      </c>
      <c r="C114" s="42" t="s">
        <v>391</v>
      </c>
      <c r="D114" s="75">
        <v>690374765</v>
      </c>
      <c r="E114" s="76">
        <v>2525786813</v>
      </c>
      <c r="F114" s="42" t="s">
        <v>256</v>
      </c>
      <c r="G114" s="52">
        <v>34614</v>
      </c>
      <c r="H114" s="53" t="str">
        <f t="shared" si="2"/>
        <v>Oct</v>
      </c>
      <c r="I114" s="54">
        <f t="shared" ca="1" si="3"/>
        <v>22</v>
      </c>
      <c r="J114" s="55" t="s">
        <v>267</v>
      </c>
      <c r="K114" s="56">
        <v>99000</v>
      </c>
      <c r="L114" s="57">
        <v>5</v>
      </c>
      <c r="M114" s="58"/>
    </row>
    <row r="115" spans="1:15" x14ac:dyDescent="0.25">
      <c r="A115" s="42" t="s">
        <v>392</v>
      </c>
      <c r="B115" s="49" t="s">
        <v>251</v>
      </c>
      <c r="C115" s="42" t="s">
        <v>391</v>
      </c>
      <c r="D115" s="75">
        <v>938508346</v>
      </c>
      <c r="E115" s="81">
        <v>2526738901</v>
      </c>
      <c r="F115" s="42" t="s">
        <v>247</v>
      </c>
      <c r="G115" s="52">
        <v>34246</v>
      </c>
      <c r="H115" s="53" t="str">
        <f t="shared" si="2"/>
        <v>Oct</v>
      </c>
      <c r="I115" s="54">
        <f t="shared" ca="1" si="3"/>
        <v>23</v>
      </c>
      <c r="J115" s="55"/>
      <c r="K115" s="56">
        <v>96060</v>
      </c>
      <c r="L115" s="57">
        <v>2</v>
      </c>
      <c r="M115" s="58"/>
    </row>
    <row r="116" spans="1:15" x14ac:dyDescent="0.25">
      <c r="A116" s="42" t="s">
        <v>393</v>
      </c>
      <c r="B116" s="49" t="s">
        <v>266</v>
      </c>
      <c r="C116" s="42" t="s">
        <v>391</v>
      </c>
      <c r="D116" s="75">
        <v>707882019</v>
      </c>
      <c r="E116" s="76">
        <v>2523373445</v>
      </c>
      <c r="F116" s="42" t="s">
        <v>247</v>
      </c>
      <c r="G116" s="52">
        <v>37343</v>
      </c>
      <c r="H116" s="53" t="str">
        <f t="shared" si="2"/>
        <v>Mar</v>
      </c>
      <c r="I116" s="54">
        <f t="shared" ca="1" si="3"/>
        <v>14</v>
      </c>
      <c r="J116" s="55"/>
      <c r="K116" s="56">
        <v>104360</v>
      </c>
      <c r="L116" s="57">
        <v>4</v>
      </c>
      <c r="M116" s="58"/>
    </row>
    <row r="117" spans="1:15" x14ac:dyDescent="0.25">
      <c r="A117" s="42" t="s">
        <v>394</v>
      </c>
      <c r="B117" s="49" t="s">
        <v>280</v>
      </c>
      <c r="C117" s="42" t="s">
        <v>391</v>
      </c>
      <c r="D117" s="75">
        <v>581823751</v>
      </c>
      <c r="E117" s="76">
        <v>2528577225</v>
      </c>
      <c r="F117" s="42" t="s">
        <v>247</v>
      </c>
      <c r="G117" s="52">
        <v>38668</v>
      </c>
      <c r="H117" s="53" t="str">
        <f t="shared" si="2"/>
        <v>Nov</v>
      </c>
      <c r="I117" s="54">
        <f t="shared" ca="1" si="3"/>
        <v>10</v>
      </c>
      <c r="J117" s="55"/>
      <c r="K117" s="56">
        <v>88070</v>
      </c>
      <c r="L117" s="57">
        <v>2</v>
      </c>
      <c r="M117" s="58"/>
    </row>
    <row r="118" spans="1:15" x14ac:dyDescent="0.25">
      <c r="A118" s="42" t="s">
        <v>395</v>
      </c>
      <c r="B118" s="49" t="s">
        <v>271</v>
      </c>
      <c r="C118" s="42" t="s">
        <v>391</v>
      </c>
      <c r="D118" s="75">
        <v>197789466</v>
      </c>
      <c r="E118" s="76">
        <v>9191472895</v>
      </c>
      <c r="F118" s="42" t="s">
        <v>247</v>
      </c>
      <c r="G118" s="52">
        <v>36738</v>
      </c>
      <c r="H118" s="53" t="str">
        <f t="shared" si="2"/>
        <v>Jul</v>
      </c>
      <c r="I118" s="54">
        <f t="shared" ca="1" si="3"/>
        <v>16</v>
      </c>
      <c r="J118" s="55"/>
      <c r="K118" s="56">
        <v>91220</v>
      </c>
      <c r="L118" s="57">
        <v>1</v>
      </c>
      <c r="M118" s="58"/>
    </row>
    <row r="119" spans="1:15" x14ac:dyDescent="0.25">
      <c r="A119" s="42" t="s">
        <v>396</v>
      </c>
      <c r="B119" s="49" t="s">
        <v>266</v>
      </c>
      <c r="C119" s="42" t="s">
        <v>391</v>
      </c>
      <c r="D119" s="75">
        <v>291798311</v>
      </c>
      <c r="E119" s="76">
        <v>2526742736</v>
      </c>
      <c r="F119" s="42" t="s">
        <v>256</v>
      </c>
      <c r="G119" s="52">
        <v>36488</v>
      </c>
      <c r="H119" s="53" t="str">
        <f t="shared" si="2"/>
        <v>Nov</v>
      </c>
      <c r="I119" s="54">
        <f t="shared" ca="1" si="3"/>
        <v>16</v>
      </c>
      <c r="J119" s="55" t="s">
        <v>257</v>
      </c>
      <c r="K119" s="56">
        <v>96140</v>
      </c>
      <c r="L119" s="57">
        <v>4</v>
      </c>
      <c r="M119" s="58"/>
    </row>
    <row r="120" spans="1:15" x14ac:dyDescent="0.25">
      <c r="A120" s="42" t="s">
        <v>397</v>
      </c>
      <c r="B120" s="49" t="s">
        <v>266</v>
      </c>
      <c r="C120" s="42" t="s">
        <v>391</v>
      </c>
      <c r="D120" s="75">
        <v>434927073</v>
      </c>
      <c r="E120" s="76">
        <v>2528440900</v>
      </c>
      <c r="F120" s="42" t="s">
        <v>256</v>
      </c>
      <c r="G120" s="52">
        <v>38613</v>
      </c>
      <c r="H120" s="53" t="str">
        <f t="shared" si="2"/>
        <v>Sep</v>
      </c>
      <c r="I120" s="54">
        <f t="shared" ca="1" si="3"/>
        <v>11</v>
      </c>
      <c r="J120" s="55" t="s">
        <v>267</v>
      </c>
      <c r="K120" s="56">
        <v>47690</v>
      </c>
      <c r="L120" s="57">
        <v>1</v>
      </c>
      <c r="M120" s="58"/>
    </row>
    <row r="121" spans="1:15" x14ac:dyDescent="0.25">
      <c r="A121" s="42" t="s">
        <v>398</v>
      </c>
      <c r="B121" s="49" t="s">
        <v>285</v>
      </c>
      <c r="C121" s="42" t="s">
        <v>391</v>
      </c>
      <c r="D121" s="75">
        <v>685953695</v>
      </c>
      <c r="E121" s="76">
        <v>9196756847</v>
      </c>
      <c r="F121" s="42" t="s">
        <v>256</v>
      </c>
      <c r="G121" s="52">
        <v>34824</v>
      </c>
      <c r="H121" s="53" t="str">
        <f t="shared" si="2"/>
        <v>May</v>
      </c>
      <c r="I121" s="54">
        <f t="shared" ca="1" si="3"/>
        <v>21</v>
      </c>
      <c r="J121" s="55" t="s">
        <v>283</v>
      </c>
      <c r="K121" s="56">
        <v>99310</v>
      </c>
      <c r="L121" s="57">
        <v>4</v>
      </c>
      <c r="M121" s="58"/>
    </row>
    <row r="122" spans="1:15" x14ac:dyDescent="0.25">
      <c r="A122" s="42" t="s">
        <v>399</v>
      </c>
      <c r="B122" s="49" t="s">
        <v>251</v>
      </c>
      <c r="C122" s="42" t="s">
        <v>391</v>
      </c>
      <c r="D122" s="75">
        <v>843875501</v>
      </c>
      <c r="E122" s="76">
        <v>2522715355</v>
      </c>
      <c r="F122" s="42" t="s">
        <v>247</v>
      </c>
      <c r="G122" s="52">
        <v>37177</v>
      </c>
      <c r="H122" s="53" t="str">
        <f t="shared" si="2"/>
        <v>Oct</v>
      </c>
      <c r="I122" s="54">
        <f t="shared" ca="1" si="3"/>
        <v>15</v>
      </c>
      <c r="J122" s="55"/>
      <c r="K122" s="56">
        <v>39530</v>
      </c>
      <c r="L122" s="57">
        <v>5</v>
      </c>
      <c r="M122" s="58"/>
    </row>
    <row r="123" spans="1:15" x14ac:dyDescent="0.25">
      <c r="A123" s="42" t="s">
        <v>400</v>
      </c>
      <c r="B123" s="49" t="s">
        <v>285</v>
      </c>
      <c r="C123" s="42" t="s">
        <v>391</v>
      </c>
      <c r="D123" s="75">
        <v>585815837</v>
      </c>
      <c r="E123" s="76">
        <v>9194983657</v>
      </c>
      <c r="F123" s="42" t="s">
        <v>261</v>
      </c>
      <c r="G123" s="52">
        <v>34995</v>
      </c>
      <c r="H123" s="53" t="str">
        <f t="shared" si="2"/>
        <v>Oct</v>
      </c>
      <c r="I123" s="54">
        <f t="shared" ca="1" si="3"/>
        <v>21</v>
      </c>
      <c r="J123" s="55" t="s">
        <v>276</v>
      </c>
      <c r="K123" s="56">
        <v>22390</v>
      </c>
      <c r="L123" s="57">
        <v>4</v>
      </c>
      <c r="M123" s="58"/>
    </row>
    <row r="124" spans="1:15" x14ac:dyDescent="0.25">
      <c r="A124" s="42" t="s">
        <v>401</v>
      </c>
      <c r="B124" s="49" t="s">
        <v>271</v>
      </c>
      <c r="C124" s="42" t="s">
        <v>391</v>
      </c>
      <c r="D124" s="75">
        <v>863161920</v>
      </c>
      <c r="E124" s="76">
        <v>2523748373</v>
      </c>
      <c r="F124" s="42" t="s">
        <v>256</v>
      </c>
      <c r="G124" s="52">
        <v>37078</v>
      </c>
      <c r="H124" s="53" t="str">
        <f t="shared" si="2"/>
        <v>Jul</v>
      </c>
      <c r="I124" s="54">
        <f t="shared" ca="1" si="3"/>
        <v>15</v>
      </c>
      <c r="J124" s="55" t="s">
        <v>283</v>
      </c>
      <c r="K124" s="56">
        <v>60130</v>
      </c>
      <c r="L124" s="57">
        <v>1</v>
      </c>
      <c r="M124" s="58"/>
    </row>
    <row r="125" spans="1:15" x14ac:dyDescent="0.25">
      <c r="A125" s="42" t="s">
        <v>402</v>
      </c>
      <c r="B125" s="49" t="s">
        <v>271</v>
      </c>
      <c r="C125" s="42" t="s">
        <v>391</v>
      </c>
      <c r="D125" s="75">
        <v>469591073</v>
      </c>
      <c r="E125" s="76">
        <v>2523327522</v>
      </c>
      <c r="F125" s="42" t="s">
        <v>256</v>
      </c>
      <c r="G125" s="52">
        <v>38114</v>
      </c>
      <c r="H125" s="53" t="str">
        <f t="shared" si="2"/>
        <v>May</v>
      </c>
      <c r="I125" s="54">
        <f t="shared" ca="1" si="3"/>
        <v>12</v>
      </c>
      <c r="J125" s="55" t="s">
        <v>267</v>
      </c>
      <c r="K125" s="56">
        <v>73380</v>
      </c>
      <c r="L125" s="57">
        <v>4</v>
      </c>
      <c r="M125" s="58"/>
    </row>
    <row r="126" spans="1:15" x14ac:dyDescent="0.25">
      <c r="A126" s="42" t="s">
        <v>403</v>
      </c>
      <c r="B126" s="49" t="s">
        <v>285</v>
      </c>
      <c r="C126" s="42" t="s">
        <v>391</v>
      </c>
      <c r="D126" s="75">
        <v>828996583</v>
      </c>
      <c r="E126" s="76">
        <v>2521282202</v>
      </c>
      <c r="F126" s="42" t="s">
        <v>252</v>
      </c>
      <c r="G126" s="52">
        <v>34184</v>
      </c>
      <c r="H126" s="53" t="str">
        <f t="shared" si="2"/>
        <v>Aug</v>
      </c>
      <c r="I126" s="54">
        <f t="shared" ca="1" si="3"/>
        <v>23</v>
      </c>
      <c r="J126" s="55"/>
      <c r="K126" s="56">
        <v>17650</v>
      </c>
      <c r="L126" s="57">
        <v>5</v>
      </c>
      <c r="M126" s="58"/>
    </row>
    <row r="127" spans="1:15" x14ac:dyDescent="0.25">
      <c r="A127" s="42" t="s">
        <v>404</v>
      </c>
      <c r="B127" s="49" t="s">
        <v>285</v>
      </c>
      <c r="C127" s="42" t="s">
        <v>391</v>
      </c>
      <c r="D127" s="75">
        <v>195245117</v>
      </c>
      <c r="E127" s="76">
        <v>9193451072</v>
      </c>
      <c r="F127" s="42" t="s">
        <v>252</v>
      </c>
      <c r="G127" s="52">
        <v>36674</v>
      </c>
      <c r="H127" s="53" t="str">
        <f t="shared" si="2"/>
        <v>May</v>
      </c>
      <c r="I127" s="54">
        <f t="shared" ca="1" si="3"/>
        <v>16</v>
      </c>
      <c r="J127" s="55"/>
      <c r="K127" s="56">
        <v>15210</v>
      </c>
      <c r="L127" s="57">
        <v>2</v>
      </c>
      <c r="M127" s="58"/>
    </row>
    <row r="128" spans="1:15" x14ac:dyDescent="0.25">
      <c r="A128" s="42" t="s">
        <v>405</v>
      </c>
      <c r="B128" s="49" t="s">
        <v>245</v>
      </c>
      <c r="C128" s="42" t="s">
        <v>391</v>
      </c>
      <c r="D128" s="75">
        <v>719937584</v>
      </c>
      <c r="E128" s="76">
        <v>9191653055</v>
      </c>
      <c r="F128" s="42" t="s">
        <v>256</v>
      </c>
      <c r="G128" s="52">
        <v>34448</v>
      </c>
      <c r="H128" s="53" t="str">
        <f t="shared" si="2"/>
        <v>Apr</v>
      </c>
      <c r="I128" s="54">
        <f t="shared" ca="1" si="3"/>
        <v>22</v>
      </c>
      <c r="J128" s="55" t="s">
        <v>283</v>
      </c>
      <c r="K128" s="56">
        <v>45140</v>
      </c>
      <c r="L128" s="57">
        <v>5</v>
      </c>
      <c r="M128" s="58"/>
      <c r="N128" s="66"/>
      <c r="O128" s="78"/>
    </row>
    <row r="129" spans="1:13" x14ac:dyDescent="0.25">
      <c r="A129" s="42" t="s">
        <v>406</v>
      </c>
      <c r="B129" s="49" t="s">
        <v>245</v>
      </c>
      <c r="C129" s="42" t="s">
        <v>391</v>
      </c>
      <c r="D129" s="75">
        <v>681596577</v>
      </c>
      <c r="E129" s="76">
        <v>9192387348</v>
      </c>
      <c r="F129" s="42" t="s">
        <v>247</v>
      </c>
      <c r="G129" s="52">
        <v>36151</v>
      </c>
      <c r="H129" s="53" t="str">
        <f t="shared" si="2"/>
        <v>Dec</v>
      </c>
      <c r="I129" s="54">
        <f t="shared" ca="1" si="3"/>
        <v>17</v>
      </c>
      <c r="J129" s="55"/>
      <c r="K129" s="56">
        <v>42310</v>
      </c>
      <c r="L129" s="57">
        <v>2</v>
      </c>
      <c r="M129" s="58"/>
    </row>
    <row r="130" spans="1:13" x14ac:dyDescent="0.25">
      <c r="A130" s="42" t="s">
        <v>407</v>
      </c>
      <c r="B130" s="49" t="s">
        <v>271</v>
      </c>
      <c r="C130" s="42" t="s">
        <v>391</v>
      </c>
      <c r="D130" s="75">
        <v>526188716</v>
      </c>
      <c r="E130" s="76">
        <v>2527230063</v>
      </c>
      <c r="F130" s="42" t="s">
        <v>247</v>
      </c>
      <c r="G130" s="52">
        <v>36960</v>
      </c>
      <c r="H130" s="53" t="str">
        <f t="shared" ref="H130:H193" si="4">CHOOSE(MONTH(G130),"Jan","Feb","Mar","Apr","May","Jun","Jul","Aug","Sep","Oct","Nov","Dec")</f>
        <v>Mar</v>
      </c>
      <c r="I130" s="54">
        <f t="shared" ref="I130:I193" ca="1" si="5">DATEDIF(G130,TODAY(),"Y")</f>
        <v>15</v>
      </c>
      <c r="J130" s="55"/>
      <c r="K130" s="56">
        <v>77360</v>
      </c>
      <c r="L130" s="57">
        <v>3</v>
      </c>
      <c r="M130" s="58"/>
    </row>
    <row r="131" spans="1:13" x14ac:dyDescent="0.25">
      <c r="A131" s="42" t="s">
        <v>408</v>
      </c>
      <c r="B131" s="49" t="s">
        <v>271</v>
      </c>
      <c r="C131" s="42" t="s">
        <v>391</v>
      </c>
      <c r="D131" s="75">
        <v>907491320</v>
      </c>
      <c r="E131" s="76">
        <v>2525724528</v>
      </c>
      <c r="F131" s="42" t="s">
        <v>261</v>
      </c>
      <c r="G131" s="52">
        <v>37358</v>
      </c>
      <c r="H131" s="53" t="str">
        <f t="shared" si="4"/>
        <v>Apr</v>
      </c>
      <c r="I131" s="54">
        <f t="shared" ca="1" si="5"/>
        <v>14</v>
      </c>
      <c r="J131" s="55" t="s">
        <v>276</v>
      </c>
      <c r="K131" s="56">
        <v>51490</v>
      </c>
      <c r="L131" s="57">
        <v>1</v>
      </c>
      <c r="M131" s="58"/>
    </row>
    <row r="132" spans="1:13" x14ac:dyDescent="0.25">
      <c r="A132" s="42" t="s">
        <v>409</v>
      </c>
      <c r="B132" s="49" t="s">
        <v>285</v>
      </c>
      <c r="C132" s="42" t="s">
        <v>391</v>
      </c>
      <c r="D132" s="75">
        <v>694800128</v>
      </c>
      <c r="E132" s="76">
        <v>9197111802</v>
      </c>
      <c r="F132" s="42" t="s">
        <v>256</v>
      </c>
      <c r="G132" s="52">
        <v>37270</v>
      </c>
      <c r="H132" s="53" t="str">
        <f t="shared" si="4"/>
        <v>Jan</v>
      </c>
      <c r="I132" s="54">
        <f t="shared" ca="1" si="5"/>
        <v>14</v>
      </c>
      <c r="J132" s="55" t="s">
        <v>283</v>
      </c>
      <c r="K132" s="56">
        <v>73600</v>
      </c>
      <c r="L132" s="57">
        <v>1</v>
      </c>
      <c r="M132" s="58"/>
    </row>
    <row r="133" spans="1:13" x14ac:dyDescent="0.25">
      <c r="A133" s="42" t="s">
        <v>410</v>
      </c>
      <c r="B133" s="49" t="s">
        <v>285</v>
      </c>
      <c r="C133" s="42" t="s">
        <v>411</v>
      </c>
      <c r="D133" s="75">
        <v>850210766</v>
      </c>
      <c r="E133" s="76">
        <v>2527838614</v>
      </c>
      <c r="F133" s="42" t="s">
        <v>256</v>
      </c>
      <c r="G133" s="52">
        <v>39588</v>
      </c>
      <c r="H133" s="53" t="str">
        <f t="shared" si="4"/>
        <v>May</v>
      </c>
      <c r="I133" s="54">
        <f t="shared" ca="1" si="5"/>
        <v>8</v>
      </c>
      <c r="J133" s="55" t="s">
        <v>257</v>
      </c>
      <c r="K133" s="56">
        <v>56820</v>
      </c>
      <c r="L133" s="57">
        <v>5</v>
      </c>
      <c r="M133" s="58"/>
    </row>
    <row r="134" spans="1:13" x14ac:dyDescent="0.25">
      <c r="A134" s="42" t="s">
        <v>412</v>
      </c>
      <c r="B134" s="49" t="s">
        <v>285</v>
      </c>
      <c r="C134" s="42" t="s">
        <v>411</v>
      </c>
      <c r="D134" s="75">
        <v>699053064</v>
      </c>
      <c r="E134" s="76">
        <v>9191299076</v>
      </c>
      <c r="F134" s="42" t="s">
        <v>247</v>
      </c>
      <c r="G134" s="52">
        <v>39528</v>
      </c>
      <c r="H134" s="53" t="str">
        <f t="shared" si="4"/>
        <v>Mar</v>
      </c>
      <c r="I134" s="54">
        <f t="shared" ca="1" si="5"/>
        <v>8</v>
      </c>
      <c r="J134" s="55"/>
      <c r="K134" s="56">
        <v>72070</v>
      </c>
      <c r="L134" s="57">
        <v>2</v>
      </c>
      <c r="M134" s="58"/>
    </row>
    <row r="135" spans="1:13" x14ac:dyDescent="0.25">
      <c r="A135" s="42" t="s">
        <v>413</v>
      </c>
      <c r="B135" s="49" t="s">
        <v>245</v>
      </c>
      <c r="C135" s="42" t="s">
        <v>411</v>
      </c>
      <c r="D135" s="75">
        <v>914041569</v>
      </c>
      <c r="E135" s="76">
        <v>9196082608</v>
      </c>
      <c r="F135" s="42" t="s">
        <v>256</v>
      </c>
      <c r="G135" s="52">
        <v>41401</v>
      </c>
      <c r="H135" s="53" t="str">
        <f t="shared" si="4"/>
        <v>May</v>
      </c>
      <c r="I135" s="54">
        <f t="shared" ca="1" si="5"/>
        <v>3</v>
      </c>
      <c r="J135" s="55" t="s">
        <v>283</v>
      </c>
      <c r="K135" s="56">
        <v>94980</v>
      </c>
      <c r="L135" s="57">
        <v>2</v>
      </c>
      <c r="M135" s="58"/>
    </row>
    <row r="136" spans="1:13" x14ac:dyDescent="0.25">
      <c r="A136" s="42" t="s">
        <v>414</v>
      </c>
      <c r="B136" s="49" t="s">
        <v>245</v>
      </c>
      <c r="C136" s="42" t="s">
        <v>411</v>
      </c>
      <c r="D136" s="75">
        <v>885773638</v>
      </c>
      <c r="E136" s="76">
        <v>9196188082</v>
      </c>
      <c r="F136" s="42" t="s">
        <v>256</v>
      </c>
      <c r="G136" s="52">
        <v>37570</v>
      </c>
      <c r="H136" s="53" t="str">
        <f t="shared" si="4"/>
        <v>Nov</v>
      </c>
      <c r="I136" s="54">
        <f t="shared" ca="1" si="5"/>
        <v>13</v>
      </c>
      <c r="J136" s="55" t="s">
        <v>283</v>
      </c>
      <c r="K136" s="56">
        <v>90070</v>
      </c>
      <c r="L136" s="57">
        <v>5</v>
      </c>
      <c r="M136" s="58"/>
    </row>
    <row r="137" spans="1:13" x14ac:dyDescent="0.25">
      <c r="A137" s="42" t="s">
        <v>415</v>
      </c>
      <c r="B137" s="49" t="s">
        <v>271</v>
      </c>
      <c r="C137" s="42" t="s">
        <v>411</v>
      </c>
      <c r="D137" s="75">
        <v>999789446</v>
      </c>
      <c r="E137" s="76">
        <v>2521696804</v>
      </c>
      <c r="F137" s="42" t="s">
        <v>256</v>
      </c>
      <c r="G137" s="52">
        <v>36330</v>
      </c>
      <c r="H137" s="53" t="str">
        <f t="shared" si="4"/>
        <v>Jun</v>
      </c>
      <c r="I137" s="54">
        <f t="shared" ca="1" si="5"/>
        <v>17</v>
      </c>
      <c r="J137" s="55" t="s">
        <v>257</v>
      </c>
      <c r="K137" s="56">
        <v>80090</v>
      </c>
      <c r="L137" s="57">
        <v>2</v>
      </c>
      <c r="M137" s="58"/>
    </row>
    <row r="138" spans="1:13" x14ac:dyDescent="0.25">
      <c r="A138" s="42" t="s">
        <v>416</v>
      </c>
      <c r="B138" s="49" t="s">
        <v>271</v>
      </c>
      <c r="C138" s="42" t="s">
        <v>417</v>
      </c>
      <c r="D138" s="75">
        <v>707553376</v>
      </c>
      <c r="E138" s="76">
        <v>9194194193</v>
      </c>
      <c r="F138" s="42" t="s">
        <v>256</v>
      </c>
      <c r="G138" s="52">
        <v>36085</v>
      </c>
      <c r="H138" s="53" t="str">
        <f t="shared" si="4"/>
        <v>Oct</v>
      </c>
      <c r="I138" s="54">
        <f t="shared" ca="1" si="5"/>
        <v>18</v>
      </c>
      <c r="J138" s="55" t="s">
        <v>276</v>
      </c>
      <c r="K138" s="56">
        <v>59110</v>
      </c>
      <c r="L138" s="57">
        <v>3</v>
      </c>
      <c r="M138" s="58"/>
    </row>
    <row r="139" spans="1:13" x14ac:dyDescent="0.25">
      <c r="A139" s="42" t="s">
        <v>418</v>
      </c>
      <c r="B139" s="49" t="s">
        <v>285</v>
      </c>
      <c r="C139" s="42" t="s">
        <v>417</v>
      </c>
      <c r="D139" s="75">
        <v>575648597</v>
      </c>
      <c r="E139" s="76">
        <v>9198865267</v>
      </c>
      <c r="F139" s="42" t="s">
        <v>247</v>
      </c>
      <c r="G139" s="52">
        <v>38642</v>
      </c>
      <c r="H139" s="53" t="str">
        <f t="shared" si="4"/>
        <v>Oct</v>
      </c>
      <c r="I139" s="54">
        <f t="shared" ca="1" si="5"/>
        <v>11</v>
      </c>
      <c r="J139" s="55"/>
      <c r="K139" s="56">
        <v>38360</v>
      </c>
      <c r="L139" s="57">
        <v>5</v>
      </c>
      <c r="M139" s="58"/>
    </row>
    <row r="140" spans="1:13" x14ac:dyDescent="0.25">
      <c r="A140" s="42" t="s">
        <v>419</v>
      </c>
      <c r="B140" s="49" t="s">
        <v>285</v>
      </c>
      <c r="C140" s="42" t="s">
        <v>417</v>
      </c>
      <c r="D140" s="75">
        <v>425598783</v>
      </c>
      <c r="E140" s="76">
        <v>9191559081</v>
      </c>
      <c r="F140" s="42" t="s">
        <v>261</v>
      </c>
      <c r="G140" s="52">
        <v>36071</v>
      </c>
      <c r="H140" s="53" t="str">
        <f t="shared" si="4"/>
        <v>Oct</v>
      </c>
      <c r="I140" s="54">
        <f t="shared" ca="1" si="5"/>
        <v>18</v>
      </c>
      <c r="J140" s="55" t="s">
        <v>276</v>
      </c>
      <c r="K140" s="56">
        <v>25460</v>
      </c>
      <c r="L140" s="57">
        <v>3</v>
      </c>
      <c r="M140" s="58"/>
    </row>
    <row r="141" spans="1:13" x14ac:dyDescent="0.25">
      <c r="A141" s="42" t="s">
        <v>420</v>
      </c>
      <c r="B141" s="49" t="s">
        <v>251</v>
      </c>
      <c r="C141" s="42" t="s">
        <v>417</v>
      </c>
      <c r="D141" s="75">
        <v>212136062</v>
      </c>
      <c r="E141" s="76">
        <v>9197226463</v>
      </c>
      <c r="F141" s="42" t="s">
        <v>256</v>
      </c>
      <c r="G141" s="52">
        <v>37083</v>
      </c>
      <c r="H141" s="53" t="str">
        <f t="shared" si="4"/>
        <v>Jul</v>
      </c>
      <c r="I141" s="54">
        <f t="shared" ca="1" si="5"/>
        <v>15</v>
      </c>
      <c r="J141" s="55" t="s">
        <v>283</v>
      </c>
      <c r="K141" s="56">
        <v>98880</v>
      </c>
      <c r="L141" s="57">
        <v>2</v>
      </c>
      <c r="M141" s="58"/>
    </row>
    <row r="142" spans="1:13" x14ac:dyDescent="0.25">
      <c r="A142" s="42" t="s">
        <v>421</v>
      </c>
      <c r="B142" s="49" t="s">
        <v>280</v>
      </c>
      <c r="C142" s="42" t="s">
        <v>417</v>
      </c>
      <c r="D142" s="75">
        <v>291841866</v>
      </c>
      <c r="E142" s="76">
        <v>9191534053</v>
      </c>
      <c r="F142" s="42" t="s">
        <v>256</v>
      </c>
      <c r="G142" s="52">
        <v>34873</v>
      </c>
      <c r="H142" s="53" t="str">
        <f t="shared" si="4"/>
        <v>Jun</v>
      </c>
      <c r="I142" s="54">
        <f t="shared" ca="1" si="5"/>
        <v>21</v>
      </c>
      <c r="J142" s="55" t="s">
        <v>257</v>
      </c>
      <c r="K142" s="56">
        <v>77410</v>
      </c>
      <c r="L142" s="57">
        <v>3</v>
      </c>
      <c r="M142" s="58"/>
    </row>
    <row r="143" spans="1:13" x14ac:dyDescent="0.25">
      <c r="A143" s="42" t="s">
        <v>422</v>
      </c>
      <c r="B143" s="49" t="s">
        <v>271</v>
      </c>
      <c r="C143" s="42" t="s">
        <v>417</v>
      </c>
      <c r="D143" s="75">
        <v>736688620</v>
      </c>
      <c r="E143" s="76">
        <v>2524562999</v>
      </c>
      <c r="F143" s="42" t="s">
        <v>261</v>
      </c>
      <c r="G143" s="52">
        <v>40769</v>
      </c>
      <c r="H143" s="53" t="str">
        <f t="shared" si="4"/>
        <v>Aug</v>
      </c>
      <c r="I143" s="54">
        <f t="shared" ca="1" si="5"/>
        <v>5</v>
      </c>
      <c r="J143" s="55" t="s">
        <v>257</v>
      </c>
      <c r="K143" s="56">
        <v>47420</v>
      </c>
      <c r="L143" s="57">
        <v>5</v>
      </c>
      <c r="M143" s="58"/>
    </row>
    <row r="144" spans="1:13" x14ac:dyDescent="0.25">
      <c r="A144" s="42" t="s">
        <v>423</v>
      </c>
      <c r="B144" s="49" t="s">
        <v>285</v>
      </c>
      <c r="C144" s="42" t="s">
        <v>417</v>
      </c>
      <c r="D144" s="75">
        <v>393051351</v>
      </c>
      <c r="E144" s="76">
        <v>9197508998</v>
      </c>
      <c r="F144" s="42" t="s">
        <v>261</v>
      </c>
      <c r="G144" s="52">
        <v>36187</v>
      </c>
      <c r="H144" s="53" t="str">
        <f t="shared" si="4"/>
        <v>Jan</v>
      </c>
      <c r="I144" s="54">
        <f t="shared" ca="1" si="5"/>
        <v>17</v>
      </c>
      <c r="J144" s="55" t="s">
        <v>276</v>
      </c>
      <c r="K144" s="56">
        <v>39400</v>
      </c>
      <c r="L144" s="57">
        <v>2</v>
      </c>
      <c r="M144" s="58"/>
    </row>
    <row r="145" spans="1:14" x14ac:dyDescent="0.25">
      <c r="A145" s="42" t="s">
        <v>424</v>
      </c>
      <c r="B145" s="49" t="s">
        <v>271</v>
      </c>
      <c r="C145" s="42" t="s">
        <v>417</v>
      </c>
      <c r="D145" s="75">
        <v>518690148</v>
      </c>
      <c r="E145" s="76">
        <v>2526500529</v>
      </c>
      <c r="F145" s="42" t="s">
        <v>256</v>
      </c>
      <c r="G145" s="52">
        <v>41400</v>
      </c>
      <c r="H145" s="53" t="str">
        <f t="shared" si="4"/>
        <v>May</v>
      </c>
      <c r="I145" s="54">
        <f t="shared" ca="1" si="5"/>
        <v>3</v>
      </c>
      <c r="J145" s="55" t="s">
        <v>267</v>
      </c>
      <c r="K145" s="56">
        <v>39170</v>
      </c>
      <c r="L145" s="57">
        <v>4</v>
      </c>
      <c r="M145" s="58"/>
    </row>
    <row r="146" spans="1:14" x14ac:dyDescent="0.25">
      <c r="A146" s="42" t="s">
        <v>425</v>
      </c>
      <c r="B146" s="49" t="s">
        <v>285</v>
      </c>
      <c r="C146" s="42" t="s">
        <v>417</v>
      </c>
      <c r="D146" s="75">
        <v>110184347</v>
      </c>
      <c r="E146" s="76">
        <v>2526166452</v>
      </c>
      <c r="F146" s="42" t="s">
        <v>256</v>
      </c>
      <c r="G146" s="52">
        <v>36254</v>
      </c>
      <c r="H146" s="53" t="str">
        <f t="shared" si="4"/>
        <v>Apr</v>
      </c>
      <c r="I146" s="54">
        <f t="shared" ca="1" si="5"/>
        <v>17</v>
      </c>
      <c r="J146" s="55" t="s">
        <v>257</v>
      </c>
      <c r="K146" s="56">
        <v>76540</v>
      </c>
      <c r="L146" s="57">
        <v>5</v>
      </c>
      <c r="M146" s="58"/>
    </row>
    <row r="147" spans="1:14" x14ac:dyDescent="0.25">
      <c r="A147" s="42" t="s">
        <v>426</v>
      </c>
      <c r="B147" s="49" t="s">
        <v>271</v>
      </c>
      <c r="C147" s="42" t="s">
        <v>417</v>
      </c>
      <c r="D147" s="75">
        <v>282972141</v>
      </c>
      <c r="E147" s="76">
        <v>2527135797</v>
      </c>
      <c r="F147" s="42" t="s">
        <v>247</v>
      </c>
      <c r="G147" s="52">
        <v>36940</v>
      </c>
      <c r="H147" s="53" t="str">
        <f t="shared" si="4"/>
        <v>Feb</v>
      </c>
      <c r="I147" s="54">
        <f t="shared" ca="1" si="5"/>
        <v>15</v>
      </c>
      <c r="J147" s="55"/>
      <c r="K147" s="56">
        <v>30140</v>
      </c>
      <c r="L147" s="57">
        <v>5</v>
      </c>
      <c r="M147" s="58"/>
    </row>
    <row r="148" spans="1:14" x14ac:dyDescent="0.25">
      <c r="A148" s="42" t="s">
        <v>427</v>
      </c>
      <c r="B148" s="49" t="s">
        <v>266</v>
      </c>
      <c r="C148" s="42" t="s">
        <v>417</v>
      </c>
      <c r="D148" s="75">
        <v>956291859</v>
      </c>
      <c r="E148" s="76">
        <v>2521156902</v>
      </c>
      <c r="F148" s="42" t="s">
        <v>247</v>
      </c>
      <c r="G148" s="52">
        <v>41260</v>
      </c>
      <c r="H148" s="53" t="str">
        <f t="shared" si="4"/>
        <v>Dec</v>
      </c>
      <c r="I148" s="54">
        <f t="shared" ca="1" si="5"/>
        <v>3</v>
      </c>
      <c r="J148" s="55"/>
      <c r="K148" s="56">
        <v>54850</v>
      </c>
      <c r="L148" s="57">
        <v>3</v>
      </c>
      <c r="M148" s="58"/>
    </row>
    <row r="149" spans="1:14" x14ac:dyDescent="0.25">
      <c r="A149" s="42" t="s">
        <v>428</v>
      </c>
      <c r="B149" s="49" t="s">
        <v>271</v>
      </c>
      <c r="C149" s="42" t="s">
        <v>417</v>
      </c>
      <c r="D149" s="75">
        <v>503349830</v>
      </c>
      <c r="E149" s="76">
        <v>9191999230</v>
      </c>
      <c r="F149" s="42" t="s">
        <v>256</v>
      </c>
      <c r="G149" s="52">
        <v>34406</v>
      </c>
      <c r="H149" s="53" t="str">
        <f t="shared" si="4"/>
        <v>Mar</v>
      </c>
      <c r="I149" s="54">
        <f t="shared" ca="1" si="5"/>
        <v>22</v>
      </c>
      <c r="J149" s="55" t="s">
        <v>283</v>
      </c>
      <c r="K149" s="56">
        <v>38570</v>
      </c>
      <c r="L149" s="57">
        <v>2</v>
      </c>
      <c r="M149" s="58"/>
    </row>
    <row r="150" spans="1:14" x14ac:dyDescent="0.25">
      <c r="A150" s="42" t="s">
        <v>429</v>
      </c>
      <c r="B150" s="49" t="s">
        <v>271</v>
      </c>
      <c r="C150" s="42" t="s">
        <v>417</v>
      </c>
      <c r="D150" s="75">
        <v>407299017</v>
      </c>
      <c r="E150" s="76">
        <v>9195968632</v>
      </c>
      <c r="F150" s="42" t="s">
        <v>252</v>
      </c>
      <c r="G150" s="52">
        <v>40894</v>
      </c>
      <c r="H150" s="53" t="str">
        <f t="shared" si="4"/>
        <v>Dec</v>
      </c>
      <c r="I150" s="54">
        <f t="shared" ca="1" si="5"/>
        <v>4</v>
      </c>
      <c r="J150" s="55"/>
      <c r="K150" s="56">
        <v>18890</v>
      </c>
      <c r="L150" s="57">
        <v>3</v>
      </c>
      <c r="M150" s="58"/>
    </row>
    <row r="151" spans="1:14" x14ac:dyDescent="0.25">
      <c r="A151" s="42" t="s">
        <v>430</v>
      </c>
      <c r="B151" s="49" t="s">
        <v>245</v>
      </c>
      <c r="C151" s="42" t="s">
        <v>417</v>
      </c>
      <c r="D151" s="75">
        <v>870601943</v>
      </c>
      <c r="E151" s="76">
        <v>9196097340</v>
      </c>
      <c r="F151" s="42" t="s">
        <v>247</v>
      </c>
      <c r="G151" s="52">
        <v>35762</v>
      </c>
      <c r="H151" s="53" t="str">
        <f t="shared" si="4"/>
        <v>Nov</v>
      </c>
      <c r="I151" s="54">
        <f t="shared" ca="1" si="5"/>
        <v>18</v>
      </c>
      <c r="J151" s="55"/>
      <c r="K151" s="56">
        <v>54050</v>
      </c>
      <c r="L151" s="57">
        <v>5</v>
      </c>
      <c r="M151" s="58"/>
    </row>
    <row r="152" spans="1:14" x14ac:dyDescent="0.25">
      <c r="A152" s="42" t="s">
        <v>431</v>
      </c>
      <c r="B152" s="49" t="s">
        <v>285</v>
      </c>
      <c r="C152" s="42" t="s">
        <v>417</v>
      </c>
      <c r="D152" s="75">
        <v>927043360</v>
      </c>
      <c r="E152" s="76">
        <v>2526053287</v>
      </c>
      <c r="F152" s="42" t="s">
        <v>247</v>
      </c>
      <c r="G152" s="52">
        <v>34425</v>
      </c>
      <c r="H152" s="53" t="str">
        <f t="shared" si="4"/>
        <v>Apr</v>
      </c>
      <c r="I152" s="54">
        <f t="shared" ca="1" si="5"/>
        <v>22</v>
      </c>
      <c r="J152" s="55"/>
      <c r="K152" s="56">
        <v>26780</v>
      </c>
      <c r="L152" s="57">
        <v>2</v>
      </c>
      <c r="M152" s="58"/>
    </row>
    <row r="153" spans="1:14" x14ac:dyDescent="0.25">
      <c r="A153" s="42" t="s">
        <v>432</v>
      </c>
      <c r="B153" s="49" t="s">
        <v>245</v>
      </c>
      <c r="C153" s="42" t="s">
        <v>417</v>
      </c>
      <c r="D153" s="75">
        <v>304068732</v>
      </c>
      <c r="E153" s="76">
        <v>2523919445</v>
      </c>
      <c r="F153" s="42" t="s">
        <v>261</v>
      </c>
      <c r="G153" s="52">
        <v>34710</v>
      </c>
      <c r="H153" s="53" t="str">
        <f t="shared" si="4"/>
        <v>Jan</v>
      </c>
      <c r="I153" s="54">
        <f t="shared" ca="1" si="5"/>
        <v>21</v>
      </c>
      <c r="J153" s="55" t="s">
        <v>257</v>
      </c>
      <c r="K153" s="56">
        <v>40930</v>
      </c>
      <c r="L153" s="57">
        <v>4</v>
      </c>
      <c r="M153" s="58"/>
      <c r="N153" s="66"/>
    </row>
    <row r="154" spans="1:14" x14ac:dyDescent="0.25">
      <c r="A154" s="42" t="s">
        <v>433</v>
      </c>
      <c r="B154" s="49" t="s">
        <v>245</v>
      </c>
      <c r="C154" s="42" t="s">
        <v>417</v>
      </c>
      <c r="D154" s="75">
        <v>429283827</v>
      </c>
      <c r="E154" s="76">
        <v>9195508095</v>
      </c>
      <c r="F154" s="42" t="s">
        <v>256</v>
      </c>
      <c r="G154" s="52">
        <v>37644</v>
      </c>
      <c r="H154" s="53" t="str">
        <f t="shared" si="4"/>
        <v>Jan</v>
      </c>
      <c r="I154" s="54">
        <f t="shared" ca="1" si="5"/>
        <v>13</v>
      </c>
      <c r="J154" s="55" t="s">
        <v>283</v>
      </c>
      <c r="K154" s="56">
        <v>85660</v>
      </c>
      <c r="L154" s="57">
        <v>2</v>
      </c>
      <c r="M154" s="58"/>
    </row>
    <row r="155" spans="1:14" x14ac:dyDescent="0.25">
      <c r="A155" s="42" t="s">
        <v>434</v>
      </c>
      <c r="B155" s="49" t="s">
        <v>251</v>
      </c>
      <c r="C155" s="42" t="s">
        <v>417</v>
      </c>
      <c r="D155" s="75">
        <v>993867417</v>
      </c>
      <c r="E155" s="76">
        <v>2522338778</v>
      </c>
      <c r="F155" s="42" t="s">
        <v>256</v>
      </c>
      <c r="G155" s="52">
        <v>34924</v>
      </c>
      <c r="H155" s="53" t="str">
        <f t="shared" si="4"/>
        <v>Aug</v>
      </c>
      <c r="I155" s="54">
        <f t="shared" ca="1" si="5"/>
        <v>21</v>
      </c>
      <c r="J155" s="55" t="s">
        <v>283</v>
      </c>
      <c r="K155" s="56">
        <v>55610</v>
      </c>
      <c r="L155" s="57">
        <v>5</v>
      </c>
      <c r="M155" s="58"/>
    </row>
    <row r="156" spans="1:14" x14ac:dyDescent="0.25">
      <c r="A156" s="42" t="s">
        <v>435</v>
      </c>
      <c r="B156" s="49" t="s">
        <v>280</v>
      </c>
      <c r="C156" s="42" t="s">
        <v>417</v>
      </c>
      <c r="D156" s="75">
        <v>525507320</v>
      </c>
      <c r="E156" s="76">
        <v>2523938131</v>
      </c>
      <c r="F156" s="42" t="s">
        <v>256</v>
      </c>
      <c r="G156" s="52">
        <v>37415</v>
      </c>
      <c r="H156" s="53" t="str">
        <f t="shared" si="4"/>
        <v>Jun</v>
      </c>
      <c r="I156" s="54">
        <f t="shared" ca="1" si="5"/>
        <v>14</v>
      </c>
      <c r="J156" s="55" t="s">
        <v>276</v>
      </c>
      <c r="K156" s="56">
        <v>47620</v>
      </c>
      <c r="L156" s="57">
        <v>5</v>
      </c>
      <c r="M156" s="58"/>
    </row>
    <row r="157" spans="1:14" x14ac:dyDescent="0.25">
      <c r="A157" s="42" t="s">
        <v>436</v>
      </c>
      <c r="B157" s="49" t="s">
        <v>280</v>
      </c>
      <c r="C157" s="42" t="s">
        <v>417</v>
      </c>
      <c r="D157" s="75">
        <v>279591317</v>
      </c>
      <c r="E157" s="76">
        <v>2522381391</v>
      </c>
      <c r="F157" s="42" t="s">
        <v>252</v>
      </c>
      <c r="G157" s="52">
        <v>37264</v>
      </c>
      <c r="H157" s="53" t="str">
        <f t="shared" si="4"/>
        <v>Jan</v>
      </c>
      <c r="I157" s="54">
        <f t="shared" ca="1" si="5"/>
        <v>14</v>
      </c>
      <c r="J157" s="55"/>
      <c r="K157" s="56">
        <v>46520</v>
      </c>
      <c r="L157" s="57">
        <v>4</v>
      </c>
      <c r="M157" s="58"/>
    </row>
    <row r="158" spans="1:14" x14ac:dyDescent="0.25">
      <c r="A158" s="42" t="s">
        <v>437</v>
      </c>
      <c r="B158" s="49" t="s">
        <v>285</v>
      </c>
      <c r="C158" s="42" t="s">
        <v>417</v>
      </c>
      <c r="D158" s="75">
        <v>541365827</v>
      </c>
      <c r="E158" s="76">
        <v>2525317859</v>
      </c>
      <c r="F158" s="42" t="s">
        <v>256</v>
      </c>
      <c r="G158" s="52">
        <v>39136</v>
      </c>
      <c r="H158" s="53" t="str">
        <f t="shared" si="4"/>
        <v>Feb</v>
      </c>
      <c r="I158" s="54">
        <f t="shared" ca="1" si="5"/>
        <v>9</v>
      </c>
      <c r="J158" s="55" t="s">
        <v>267</v>
      </c>
      <c r="K158" s="56">
        <v>78670</v>
      </c>
      <c r="L158" s="57">
        <v>1</v>
      </c>
      <c r="M158" s="58"/>
    </row>
    <row r="159" spans="1:14" x14ac:dyDescent="0.25">
      <c r="A159" s="42" t="s">
        <v>438</v>
      </c>
      <c r="B159" s="49" t="s">
        <v>271</v>
      </c>
      <c r="C159" s="42" t="s">
        <v>417</v>
      </c>
      <c r="D159" s="75">
        <v>571821715</v>
      </c>
      <c r="E159" s="76">
        <v>2527102355</v>
      </c>
      <c r="F159" s="42" t="s">
        <v>256</v>
      </c>
      <c r="G159" s="52">
        <v>36606</v>
      </c>
      <c r="H159" s="53" t="str">
        <f t="shared" si="4"/>
        <v>Mar</v>
      </c>
      <c r="I159" s="54">
        <f t="shared" ca="1" si="5"/>
        <v>16</v>
      </c>
      <c r="J159" s="55" t="s">
        <v>283</v>
      </c>
      <c r="K159" s="56">
        <v>68240</v>
      </c>
      <c r="L159" s="57">
        <v>1</v>
      </c>
      <c r="M159" s="58"/>
    </row>
    <row r="160" spans="1:14" x14ac:dyDescent="0.25">
      <c r="A160" s="42" t="s">
        <v>439</v>
      </c>
      <c r="B160" s="49" t="s">
        <v>280</v>
      </c>
      <c r="C160" s="42" t="s">
        <v>417</v>
      </c>
      <c r="D160" s="75">
        <v>171868795</v>
      </c>
      <c r="E160" s="76">
        <v>9194323329</v>
      </c>
      <c r="F160" s="42" t="s">
        <v>256</v>
      </c>
      <c r="G160" s="52">
        <v>34080</v>
      </c>
      <c r="H160" s="53" t="str">
        <f t="shared" si="4"/>
        <v>Apr</v>
      </c>
      <c r="I160" s="54">
        <f t="shared" ca="1" si="5"/>
        <v>23</v>
      </c>
      <c r="J160" s="55" t="s">
        <v>276</v>
      </c>
      <c r="K160" s="56">
        <v>38830</v>
      </c>
      <c r="L160" s="57">
        <v>4</v>
      </c>
      <c r="M160" s="58"/>
    </row>
    <row r="161" spans="1:14" x14ac:dyDescent="0.25">
      <c r="A161" s="42" t="s">
        <v>440</v>
      </c>
      <c r="B161" s="49" t="s">
        <v>285</v>
      </c>
      <c r="C161" s="42" t="s">
        <v>417</v>
      </c>
      <c r="D161" s="75">
        <v>659929807</v>
      </c>
      <c r="E161" s="76">
        <v>9193089561</v>
      </c>
      <c r="F161" s="42" t="s">
        <v>256</v>
      </c>
      <c r="G161" s="52">
        <v>39754</v>
      </c>
      <c r="H161" s="53" t="str">
        <f t="shared" si="4"/>
        <v>Nov</v>
      </c>
      <c r="I161" s="54">
        <f t="shared" ca="1" si="5"/>
        <v>8</v>
      </c>
      <c r="J161" s="55" t="s">
        <v>257</v>
      </c>
      <c r="K161" s="56">
        <v>26890</v>
      </c>
      <c r="L161" s="57">
        <v>4</v>
      </c>
      <c r="M161" s="58"/>
    </row>
    <row r="162" spans="1:14" x14ac:dyDescent="0.25">
      <c r="A162" s="42" t="s">
        <v>441</v>
      </c>
      <c r="B162" s="49" t="s">
        <v>271</v>
      </c>
      <c r="C162" s="42" t="s">
        <v>417</v>
      </c>
      <c r="D162" s="75">
        <v>113699123</v>
      </c>
      <c r="E162" s="76">
        <v>2526563683</v>
      </c>
      <c r="F162" s="42" t="s">
        <v>256</v>
      </c>
      <c r="G162" s="52">
        <v>34118</v>
      </c>
      <c r="H162" s="53" t="str">
        <f t="shared" si="4"/>
        <v>May</v>
      </c>
      <c r="I162" s="54">
        <f t="shared" ca="1" si="5"/>
        <v>23</v>
      </c>
      <c r="J162" s="55" t="s">
        <v>267</v>
      </c>
      <c r="K162" s="56">
        <v>42430</v>
      </c>
      <c r="L162" s="57">
        <v>5</v>
      </c>
      <c r="M162" s="58"/>
    </row>
    <row r="163" spans="1:14" x14ac:dyDescent="0.25">
      <c r="A163" s="42" t="s">
        <v>442</v>
      </c>
      <c r="B163" s="49" t="s">
        <v>271</v>
      </c>
      <c r="C163" s="42" t="s">
        <v>417</v>
      </c>
      <c r="D163" s="75">
        <v>249760737</v>
      </c>
      <c r="E163" s="76">
        <v>2522969056</v>
      </c>
      <c r="F163" s="42" t="s">
        <v>247</v>
      </c>
      <c r="G163" s="52">
        <v>34950</v>
      </c>
      <c r="H163" s="53" t="str">
        <f t="shared" si="4"/>
        <v>Sep</v>
      </c>
      <c r="I163" s="54">
        <f t="shared" ca="1" si="5"/>
        <v>21</v>
      </c>
      <c r="J163" s="55"/>
      <c r="K163" s="56">
        <v>97280</v>
      </c>
      <c r="L163" s="57">
        <v>5</v>
      </c>
      <c r="M163" s="58"/>
    </row>
    <row r="164" spans="1:14" x14ac:dyDescent="0.25">
      <c r="A164" s="42" t="s">
        <v>443</v>
      </c>
      <c r="B164" s="49" t="s">
        <v>285</v>
      </c>
      <c r="C164" s="42" t="s">
        <v>417</v>
      </c>
      <c r="D164" s="75">
        <v>536516131</v>
      </c>
      <c r="E164" s="76">
        <v>2524442207</v>
      </c>
      <c r="F164" s="42" t="s">
        <v>256</v>
      </c>
      <c r="G164" s="52">
        <v>41471</v>
      </c>
      <c r="H164" s="53" t="str">
        <f t="shared" si="4"/>
        <v>Jul</v>
      </c>
      <c r="I164" s="54">
        <f t="shared" ca="1" si="5"/>
        <v>3</v>
      </c>
      <c r="J164" s="55" t="s">
        <v>283</v>
      </c>
      <c r="K164" s="56">
        <v>51140</v>
      </c>
      <c r="L164" s="57">
        <v>3</v>
      </c>
      <c r="M164" s="58"/>
    </row>
    <row r="165" spans="1:14" x14ac:dyDescent="0.25">
      <c r="A165" s="42" t="s">
        <v>444</v>
      </c>
      <c r="B165" s="49" t="s">
        <v>245</v>
      </c>
      <c r="C165" s="42" t="s">
        <v>417</v>
      </c>
      <c r="D165" s="75">
        <v>932787692</v>
      </c>
      <c r="E165" s="76">
        <v>2522612740</v>
      </c>
      <c r="F165" s="42" t="s">
        <v>247</v>
      </c>
      <c r="G165" s="52">
        <v>35162</v>
      </c>
      <c r="H165" s="53" t="str">
        <f t="shared" si="4"/>
        <v>Apr</v>
      </c>
      <c r="I165" s="54">
        <f t="shared" ca="1" si="5"/>
        <v>20</v>
      </c>
      <c r="J165" s="55"/>
      <c r="K165" s="56">
        <v>76910</v>
      </c>
      <c r="L165" s="57">
        <v>2</v>
      </c>
      <c r="M165" s="58"/>
    </row>
    <row r="166" spans="1:14" x14ac:dyDescent="0.25">
      <c r="A166" s="42" t="s">
        <v>445</v>
      </c>
      <c r="B166" s="49" t="s">
        <v>285</v>
      </c>
      <c r="C166" s="42" t="s">
        <v>417</v>
      </c>
      <c r="D166" s="75">
        <v>116869057</v>
      </c>
      <c r="E166" s="76">
        <v>2521614846</v>
      </c>
      <c r="F166" s="42" t="s">
        <v>261</v>
      </c>
      <c r="G166" s="52">
        <v>35756</v>
      </c>
      <c r="H166" s="53" t="str">
        <f t="shared" si="4"/>
        <v>Nov</v>
      </c>
      <c r="I166" s="54">
        <f t="shared" ca="1" si="5"/>
        <v>18</v>
      </c>
      <c r="J166" s="55" t="s">
        <v>267</v>
      </c>
      <c r="K166" s="56">
        <v>18010</v>
      </c>
      <c r="L166" s="57">
        <v>4</v>
      </c>
      <c r="M166" s="58"/>
      <c r="N166" s="66"/>
    </row>
    <row r="167" spans="1:14" x14ac:dyDescent="0.25">
      <c r="A167" s="42" t="s">
        <v>446</v>
      </c>
      <c r="B167" s="49" t="s">
        <v>251</v>
      </c>
      <c r="C167" s="42" t="s">
        <v>417</v>
      </c>
      <c r="D167" s="75">
        <v>105708355</v>
      </c>
      <c r="E167" s="76">
        <v>2524697218</v>
      </c>
      <c r="F167" s="42" t="s">
        <v>256</v>
      </c>
      <c r="G167" s="52">
        <v>36990</v>
      </c>
      <c r="H167" s="53" t="str">
        <f t="shared" si="4"/>
        <v>Apr</v>
      </c>
      <c r="I167" s="54">
        <f t="shared" ca="1" si="5"/>
        <v>15</v>
      </c>
      <c r="J167" s="55" t="s">
        <v>262</v>
      </c>
      <c r="K167" s="56">
        <v>85210</v>
      </c>
      <c r="L167" s="57">
        <v>5</v>
      </c>
      <c r="M167" s="58"/>
    </row>
    <row r="168" spans="1:14" x14ac:dyDescent="0.25">
      <c r="A168" s="42" t="s">
        <v>447</v>
      </c>
      <c r="B168" s="49" t="s">
        <v>285</v>
      </c>
      <c r="C168" s="42" t="s">
        <v>417</v>
      </c>
      <c r="D168" s="75">
        <v>659766304</v>
      </c>
      <c r="E168" s="76">
        <v>9195876028</v>
      </c>
      <c r="F168" s="42" t="s">
        <v>256</v>
      </c>
      <c r="G168" s="52">
        <v>36502</v>
      </c>
      <c r="H168" s="53" t="str">
        <f t="shared" si="4"/>
        <v>Dec</v>
      </c>
      <c r="I168" s="54">
        <f t="shared" ca="1" si="5"/>
        <v>16</v>
      </c>
      <c r="J168" s="55" t="s">
        <v>283</v>
      </c>
      <c r="K168" s="56">
        <v>45300</v>
      </c>
      <c r="L168" s="57">
        <v>5</v>
      </c>
      <c r="M168" s="58"/>
    </row>
    <row r="169" spans="1:14" x14ac:dyDescent="0.25">
      <c r="A169" s="42" t="s">
        <v>448</v>
      </c>
      <c r="B169" s="49" t="s">
        <v>271</v>
      </c>
      <c r="C169" s="42" t="s">
        <v>417</v>
      </c>
      <c r="D169" s="75">
        <v>232896341</v>
      </c>
      <c r="E169" s="76">
        <v>9197288082</v>
      </c>
      <c r="F169" s="42" t="s">
        <v>247</v>
      </c>
      <c r="G169" s="52">
        <v>41237</v>
      </c>
      <c r="H169" s="53" t="str">
        <f t="shared" si="4"/>
        <v>Nov</v>
      </c>
      <c r="I169" s="54">
        <f t="shared" ca="1" si="5"/>
        <v>3</v>
      </c>
      <c r="J169" s="55"/>
      <c r="K169" s="56">
        <v>55000</v>
      </c>
      <c r="L169" s="57">
        <v>4</v>
      </c>
      <c r="M169" s="58"/>
    </row>
    <row r="170" spans="1:14" x14ac:dyDescent="0.25">
      <c r="A170" s="42" t="s">
        <v>449</v>
      </c>
      <c r="B170" s="49" t="s">
        <v>251</v>
      </c>
      <c r="C170" s="42" t="s">
        <v>417</v>
      </c>
      <c r="D170" s="75">
        <v>281005046</v>
      </c>
      <c r="E170" s="76">
        <v>2527051004</v>
      </c>
      <c r="F170" s="42" t="s">
        <v>247</v>
      </c>
      <c r="G170" s="52">
        <v>41055</v>
      </c>
      <c r="H170" s="53" t="str">
        <f t="shared" si="4"/>
        <v>May</v>
      </c>
      <c r="I170" s="54">
        <f t="shared" ca="1" si="5"/>
        <v>4</v>
      </c>
      <c r="J170" s="55"/>
      <c r="K170" s="56">
        <v>68300</v>
      </c>
      <c r="L170" s="57">
        <v>4</v>
      </c>
      <c r="M170" s="58"/>
    </row>
    <row r="171" spans="1:14" x14ac:dyDescent="0.25">
      <c r="A171" s="42" t="s">
        <v>450</v>
      </c>
      <c r="B171" s="49" t="s">
        <v>285</v>
      </c>
      <c r="C171" s="42" t="s">
        <v>417</v>
      </c>
      <c r="D171" s="75">
        <v>302598687</v>
      </c>
      <c r="E171" s="76">
        <v>9195394899</v>
      </c>
      <c r="F171" s="42" t="s">
        <v>256</v>
      </c>
      <c r="G171" s="52">
        <v>35087</v>
      </c>
      <c r="H171" s="53" t="str">
        <f t="shared" si="4"/>
        <v>Jan</v>
      </c>
      <c r="I171" s="54">
        <f t="shared" ca="1" si="5"/>
        <v>20</v>
      </c>
      <c r="J171" s="55" t="s">
        <v>257</v>
      </c>
      <c r="K171" s="56">
        <v>38210</v>
      </c>
      <c r="L171" s="57">
        <v>1</v>
      </c>
      <c r="M171" s="58"/>
    </row>
    <row r="172" spans="1:14" x14ac:dyDescent="0.25">
      <c r="A172" s="42" t="s">
        <v>451</v>
      </c>
      <c r="B172" s="49" t="s">
        <v>271</v>
      </c>
      <c r="C172" s="42" t="s">
        <v>417</v>
      </c>
      <c r="D172" s="75">
        <v>603301910</v>
      </c>
      <c r="E172" s="76">
        <v>9196514650</v>
      </c>
      <c r="F172" s="42" t="s">
        <v>256</v>
      </c>
      <c r="G172" s="52">
        <v>35214</v>
      </c>
      <c r="H172" s="53" t="str">
        <f t="shared" si="4"/>
        <v>May</v>
      </c>
      <c r="I172" s="54">
        <f t="shared" ca="1" si="5"/>
        <v>20</v>
      </c>
      <c r="J172" s="55" t="s">
        <v>257</v>
      </c>
      <c r="K172" s="56">
        <v>87480</v>
      </c>
      <c r="L172" s="57">
        <v>3</v>
      </c>
      <c r="M172" s="58"/>
    </row>
    <row r="173" spans="1:14" x14ac:dyDescent="0.25">
      <c r="A173" s="42" t="s">
        <v>452</v>
      </c>
      <c r="B173" s="49" t="s">
        <v>285</v>
      </c>
      <c r="C173" s="42" t="s">
        <v>417</v>
      </c>
      <c r="D173" s="75">
        <v>661397587</v>
      </c>
      <c r="E173" s="76">
        <v>9196126835</v>
      </c>
      <c r="F173" s="42" t="s">
        <v>247</v>
      </c>
      <c r="G173" s="52">
        <v>35913</v>
      </c>
      <c r="H173" s="53" t="str">
        <f t="shared" si="4"/>
        <v>Apr</v>
      </c>
      <c r="I173" s="54">
        <f t="shared" ca="1" si="5"/>
        <v>18</v>
      </c>
      <c r="J173" s="55"/>
      <c r="K173" s="56">
        <v>48670</v>
      </c>
      <c r="L173" s="57">
        <v>5</v>
      </c>
      <c r="M173" s="58"/>
    </row>
    <row r="174" spans="1:14" x14ac:dyDescent="0.25">
      <c r="A174" s="42" t="s">
        <v>453</v>
      </c>
      <c r="B174" s="49" t="s">
        <v>271</v>
      </c>
      <c r="C174" s="42" t="s">
        <v>417</v>
      </c>
      <c r="D174" s="75">
        <v>622274162</v>
      </c>
      <c r="E174" s="76">
        <v>9191264786</v>
      </c>
      <c r="F174" s="42" t="s">
        <v>247</v>
      </c>
      <c r="G174" s="52">
        <v>35772</v>
      </c>
      <c r="H174" s="53" t="str">
        <f t="shared" si="4"/>
        <v>Dec</v>
      </c>
      <c r="I174" s="54">
        <f t="shared" ca="1" si="5"/>
        <v>18</v>
      </c>
      <c r="J174" s="55"/>
      <c r="K174" s="56">
        <v>31630</v>
      </c>
      <c r="L174" s="57">
        <v>4</v>
      </c>
      <c r="M174" s="58"/>
    </row>
    <row r="175" spans="1:14" x14ac:dyDescent="0.25">
      <c r="A175" s="42" t="s">
        <v>454</v>
      </c>
      <c r="B175" s="49" t="s">
        <v>271</v>
      </c>
      <c r="C175" s="42" t="s">
        <v>417</v>
      </c>
      <c r="D175" s="75">
        <v>625531462</v>
      </c>
      <c r="E175" s="76">
        <v>2527553017</v>
      </c>
      <c r="F175" s="42" t="s">
        <v>256</v>
      </c>
      <c r="G175" s="52">
        <v>38289</v>
      </c>
      <c r="H175" s="53" t="str">
        <f t="shared" si="4"/>
        <v>Oct</v>
      </c>
      <c r="I175" s="54">
        <f t="shared" ca="1" si="5"/>
        <v>12</v>
      </c>
      <c r="J175" s="55" t="s">
        <v>257</v>
      </c>
      <c r="K175" s="56">
        <v>50980</v>
      </c>
      <c r="L175" s="57">
        <v>3</v>
      </c>
      <c r="M175" s="58"/>
    </row>
    <row r="176" spans="1:14" x14ac:dyDescent="0.25">
      <c r="A176" s="42" t="s">
        <v>455</v>
      </c>
      <c r="B176" s="49" t="s">
        <v>251</v>
      </c>
      <c r="C176" s="42" t="s">
        <v>456</v>
      </c>
      <c r="D176" s="75">
        <v>117896630</v>
      </c>
      <c r="E176" s="76">
        <v>9197173558</v>
      </c>
      <c r="F176" s="42" t="s">
        <v>247</v>
      </c>
      <c r="G176" s="52">
        <v>41264</v>
      </c>
      <c r="H176" s="53" t="str">
        <f t="shared" si="4"/>
        <v>Dec</v>
      </c>
      <c r="I176" s="54">
        <f t="shared" ca="1" si="5"/>
        <v>3</v>
      </c>
      <c r="J176" s="55" t="s">
        <v>267</v>
      </c>
      <c r="K176" s="56">
        <v>85430</v>
      </c>
      <c r="L176" s="57">
        <v>4</v>
      </c>
      <c r="M176" s="58"/>
    </row>
    <row r="177" spans="1:13" x14ac:dyDescent="0.25">
      <c r="A177" s="42" t="s">
        <v>457</v>
      </c>
      <c r="B177" s="49" t="s">
        <v>271</v>
      </c>
      <c r="C177" s="42" t="s">
        <v>456</v>
      </c>
      <c r="D177" s="75">
        <v>351268538</v>
      </c>
      <c r="E177" s="76">
        <v>2525610944</v>
      </c>
      <c r="F177" s="42" t="s">
        <v>252</v>
      </c>
      <c r="G177" s="52">
        <v>37520</v>
      </c>
      <c r="H177" s="53" t="str">
        <f t="shared" si="4"/>
        <v>Sep</v>
      </c>
      <c r="I177" s="54">
        <f t="shared" ca="1" si="5"/>
        <v>14</v>
      </c>
      <c r="J177" s="55" t="s">
        <v>283</v>
      </c>
      <c r="K177" s="56">
        <v>74230</v>
      </c>
      <c r="L177" s="57">
        <v>5</v>
      </c>
      <c r="M177" s="58"/>
    </row>
    <row r="178" spans="1:13" x14ac:dyDescent="0.25">
      <c r="A178" s="42" t="s">
        <v>458</v>
      </c>
      <c r="B178" s="49" t="s">
        <v>285</v>
      </c>
      <c r="C178" s="42" t="s">
        <v>456</v>
      </c>
      <c r="D178" s="75">
        <v>771953685</v>
      </c>
      <c r="E178" s="76">
        <v>2526739978</v>
      </c>
      <c r="F178" s="42" t="s">
        <v>252</v>
      </c>
      <c r="G178" s="52">
        <v>38947</v>
      </c>
      <c r="H178" s="53" t="str">
        <f t="shared" si="4"/>
        <v>Aug</v>
      </c>
      <c r="I178" s="54">
        <f t="shared" ca="1" si="5"/>
        <v>10</v>
      </c>
      <c r="J178" s="55" t="s">
        <v>257</v>
      </c>
      <c r="K178" s="56">
        <v>102160</v>
      </c>
      <c r="L178" s="57">
        <v>5</v>
      </c>
      <c r="M178" s="58"/>
    </row>
    <row r="179" spans="1:13" x14ac:dyDescent="0.25">
      <c r="A179" s="42" t="s">
        <v>459</v>
      </c>
      <c r="B179" s="49" t="s">
        <v>285</v>
      </c>
      <c r="C179" s="42" t="s">
        <v>456</v>
      </c>
      <c r="D179" s="75">
        <v>875920441</v>
      </c>
      <c r="E179" s="76">
        <v>9191715499</v>
      </c>
      <c r="F179" s="42" t="s">
        <v>261</v>
      </c>
      <c r="G179" s="52">
        <v>38506</v>
      </c>
      <c r="H179" s="53" t="str">
        <f t="shared" si="4"/>
        <v>Jun</v>
      </c>
      <c r="I179" s="54">
        <f t="shared" ca="1" si="5"/>
        <v>11</v>
      </c>
      <c r="J179" s="55" t="s">
        <v>276</v>
      </c>
      <c r="K179" s="56">
        <v>62160</v>
      </c>
      <c r="L179" s="57">
        <v>1</v>
      </c>
      <c r="M179" s="58"/>
    </row>
    <row r="180" spans="1:13" x14ac:dyDescent="0.25">
      <c r="A180" s="42" t="s">
        <v>460</v>
      </c>
      <c r="B180" s="49" t="s">
        <v>280</v>
      </c>
      <c r="C180" s="42" t="s">
        <v>456</v>
      </c>
      <c r="D180" s="75">
        <v>477110649</v>
      </c>
      <c r="E180" s="76">
        <v>9191351512</v>
      </c>
      <c r="F180" s="42" t="s">
        <v>256</v>
      </c>
      <c r="G180" s="52">
        <v>38044</v>
      </c>
      <c r="H180" s="53" t="str">
        <f t="shared" si="4"/>
        <v>Feb</v>
      </c>
      <c r="I180" s="54">
        <f t="shared" ca="1" si="5"/>
        <v>12</v>
      </c>
      <c r="J180" s="55" t="s">
        <v>262</v>
      </c>
      <c r="K180" s="56">
        <v>54180</v>
      </c>
      <c r="L180" s="57">
        <v>1</v>
      </c>
      <c r="M180" s="58"/>
    </row>
    <row r="181" spans="1:13" x14ac:dyDescent="0.25">
      <c r="A181" s="42" t="s">
        <v>461</v>
      </c>
      <c r="B181" s="49" t="s">
        <v>280</v>
      </c>
      <c r="C181" s="42" t="s">
        <v>456</v>
      </c>
      <c r="D181" s="75">
        <v>746497232</v>
      </c>
      <c r="E181" s="76">
        <v>9196681578</v>
      </c>
      <c r="F181" s="42" t="s">
        <v>247</v>
      </c>
      <c r="G181" s="52">
        <v>37674</v>
      </c>
      <c r="H181" s="53" t="str">
        <f t="shared" si="4"/>
        <v>Feb</v>
      </c>
      <c r="I181" s="54">
        <f t="shared" ca="1" si="5"/>
        <v>13</v>
      </c>
      <c r="J181" s="55" t="s">
        <v>283</v>
      </c>
      <c r="K181" s="56">
        <v>83290</v>
      </c>
      <c r="L181" s="57">
        <v>4</v>
      </c>
      <c r="M181" s="58"/>
    </row>
    <row r="182" spans="1:13" x14ac:dyDescent="0.25">
      <c r="A182" s="42" t="s">
        <v>462</v>
      </c>
      <c r="B182" s="49" t="s">
        <v>271</v>
      </c>
      <c r="C182" s="42" t="s">
        <v>456</v>
      </c>
      <c r="D182" s="75">
        <v>861884260</v>
      </c>
      <c r="E182" s="76">
        <v>9196632360</v>
      </c>
      <c r="F182" s="42" t="s">
        <v>256</v>
      </c>
      <c r="G182" s="52">
        <v>34386</v>
      </c>
      <c r="H182" s="53" t="str">
        <f t="shared" si="4"/>
        <v>Feb</v>
      </c>
      <c r="I182" s="54">
        <f t="shared" ca="1" si="5"/>
        <v>22</v>
      </c>
      <c r="J182" s="55" t="s">
        <v>257</v>
      </c>
      <c r="K182" s="56">
        <v>106970</v>
      </c>
      <c r="L182" s="57">
        <v>1</v>
      </c>
      <c r="M182" s="58"/>
    </row>
    <row r="183" spans="1:13" x14ac:dyDescent="0.25">
      <c r="A183" s="42" t="s">
        <v>463</v>
      </c>
      <c r="B183" s="49" t="s">
        <v>271</v>
      </c>
      <c r="C183" s="42" t="s">
        <v>456</v>
      </c>
      <c r="D183" s="75">
        <v>244171882</v>
      </c>
      <c r="E183" s="76">
        <v>2527577867</v>
      </c>
      <c r="F183" s="42" t="s">
        <v>261</v>
      </c>
      <c r="G183" s="52">
        <v>35402</v>
      </c>
      <c r="H183" s="53" t="str">
        <f t="shared" si="4"/>
        <v>Dec</v>
      </c>
      <c r="I183" s="54">
        <f t="shared" ca="1" si="5"/>
        <v>19</v>
      </c>
      <c r="J183" s="55" t="s">
        <v>267</v>
      </c>
      <c r="K183" s="56">
        <v>107740</v>
      </c>
      <c r="L183" s="57">
        <v>4</v>
      </c>
      <c r="M183" s="58"/>
    </row>
    <row r="184" spans="1:13" x14ac:dyDescent="0.25">
      <c r="A184" s="42" t="s">
        <v>464</v>
      </c>
      <c r="B184" s="49" t="s">
        <v>271</v>
      </c>
      <c r="C184" s="42" t="s">
        <v>465</v>
      </c>
      <c r="D184" s="75">
        <v>501523688</v>
      </c>
      <c r="E184" s="76">
        <v>2528560698</v>
      </c>
      <c r="F184" s="42" t="s">
        <v>256</v>
      </c>
      <c r="G184" s="52">
        <v>36521</v>
      </c>
      <c r="H184" s="53" t="str">
        <f t="shared" si="4"/>
        <v>Dec</v>
      </c>
      <c r="I184" s="54">
        <f t="shared" ca="1" si="5"/>
        <v>16</v>
      </c>
      <c r="J184" s="55" t="s">
        <v>257</v>
      </c>
      <c r="K184" s="56">
        <v>95680</v>
      </c>
      <c r="L184" s="57">
        <v>2</v>
      </c>
      <c r="M184" s="58"/>
    </row>
    <row r="185" spans="1:13" x14ac:dyDescent="0.25">
      <c r="A185" s="42" t="s">
        <v>466</v>
      </c>
      <c r="B185" s="49" t="s">
        <v>285</v>
      </c>
      <c r="C185" s="42" t="s">
        <v>465</v>
      </c>
      <c r="D185" s="75">
        <v>722630791</v>
      </c>
      <c r="E185" s="76">
        <v>2522263363</v>
      </c>
      <c r="F185" s="42" t="s">
        <v>252</v>
      </c>
      <c r="G185" s="52">
        <v>36983</v>
      </c>
      <c r="H185" s="53" t="str">
        <f t="shared" si="4"/>
        <v>Apr</v>
      </c>
      <c r="I185" s="54">
        <f t="shared" ca="1" si="5"/>
        <v>15</v>
      </c>
      <c r="J185" s="55"/>
      <c r="K185" s="56">
        <v>10680</v>
      </c>
      <c r="L185" s="57">
        <v>3</v>
      </c>
      <c r="M185" s="58"/>
    </row>
    <row r="186" spans="1:13" x14ac:dyDescent="0.25">
      <c r="A186" s="42" t="s">
        <v>467</v>
      </c>
      <c r="B186" s="49" t="s">
        <v>271</v>
      </c>
      <c r="C186" s="42" t="s">
        <v>465</v>
      </c>
      <c r="D186" s="75">
        <v>592631929</v>
      </c>
      <c r="E186" s="76">
        <v>2523922629</v>
      </c>
      <c r="F186" s="42" t="s">
        <v>247</v>
      </c>
      <c r="G186" s="52">
        <v>36350</v>
      </c>
      <c r="H186" s="53" t="str">
        <f t="shared" si="4"/>
        <v>Jul</v>
      </c>
      <c r="I186" s="54">
        <f t="shared" ca="1" si="5"/>
        <v>17</v>
      </c>
      <c r="J186" s="55"/>
      <c r="K186" s="56">
        <v>63530</v>
      </c>
      <c r="L186" s="57">
        <v>4</v>
      </c>
      <c r="M186" s="58"/>
    </row>
    <row r="187" spans="1:13" x14ac:dyDescent="0.25">
      <c r="A187" s="42" t="s">
        <v>468</v>
      </c>
      <c r="B187" s="49" t="s">
        <v>285</v>
      </c>
      <c r="C187" s="42" t="s">
        <v>465</v>
      </c>
      <c r="D187" s="75">
        <v>319449613</v>
      </c>
      <c r="E187" s="76">
        <v>2523454032</v>
      </c>
      <c r="F187" s="42" t="s">
        <v>256</v>
      </c>
      <c r="G187" s="52">
        <v>37333</v>
      </c>
      <c r="H187" s="53" t="str">
        <f t="shared" si="4"/>
        <v>Mar</v>
      </c>
      <c r="I187" s="54">
        <f t="shared" ca="1" si="5"/>
        <v>14</v>
      </c>
      <c r="J187" s="55" t="s">
        <v>267</v>
      </c>
      <c r="K187" s="56">
        <v>45310</v>
      </c>
      <c r="L187" s="57">
        <v>2</v>
      </c>
      <c r="M187" s="58"/>
    </row>
    <row r="188" spans="1:13" x14ac:dyDescent="0.25">
      <c r="A188" s="42" t="s">
        <v>469</v>
      </c>
      <c r="B188" s="49" t="s">
        <v>245</v>
      </c>
      <c r="C188" s="42" t="s">
        <v>465</v>
      </c>
      <c r="D188" s="75">
        <v>865073824</v>
      </c>
      <c r="E188" s="76">
        <v>2524785979</v>
      </c>
      <c r="F188" s="42" t="s">
        <v>256</v>
      </c>
      <c r="G188" s="52">
        <v>35542</v>
      </c>
      <c r="H188" s="53" t="str">
        <f t="shared" si="4"/>
        <v>Apr</v>
      </c>
      <c r="I188" s="54">
        <f t="shared" ca="1" si="5"/>
        <v>19</v>
      </c>
      <c r="J188" s="55" t="s">
        <v>276</v>
      </c>
      <c r="K188" s="56">
        <v>41380</v>
      </c>
      <c r="L188" s="57">
        <v>3</v>
      </c>
      <c r="M188" s="58"/>
    </row>
    <row r="189" spans="1:13" x14ac:dyDescent="0.25">
      <c r="A189" s="42" t="s">
        <v>470</v>
      </c>
      <c r="B189" s="49" t="s">
        <v>285</v>
      </c>
      <c r="C189" s="42" t="s">
        <v>465</v>
      </c>
      <c r="D189" s="75">
        <v>894030119</v>
      </c>
      <c r="E189" s="76">
        <v>2528652588</v>
      </c>
      <c r="F189" s="42" t="s">
        <v>256</v>
      </c>
      <c r="G189" s="52">
        <v>38069</v>
      </c>
      <c r="H189" s="53" t="str">
        <f t="shared" si="4"/>
        <v>Mar</v>
      </c>
      <c r="I189" s="54">
        <f t="shared" ca="1" si="5"/>
        <v>12</v>
      </c>
      <c r="J189" s="55" t="s">
        <v>262</v>
      </c>
      <c r="K189" s="56">
        <v>79210</v>
      </c>
      <c r="L189" s="57">
        <v>5</v>
      </c>
      <c r="M189" s="58"/>
    </row>
    <row r="190" spans="1:13" x14ac:dyDescent="0.25">
      <c r="A190" s="42" t="s">
        <v>471</v>
      </c>
      <c r="B190" s="49" t="s">
        <v>251</v>
      </c>
      <c r="C190" s="42" t="s">
        <v>465</v>
      </c>
      <c r="D190" s="75">
        <v>100679868</v>
      </c>
      <c r="E190" s="76">
        <v>9198082183</v>
      </c>
      <c r="F190" s="42" t="s">
        <v>261</v>
      </c>
      <c r="G190" s="52">
        <v>36808</v>
      </c>
      <c r="H190" s="53" t="str">
        <f t="shared" si="4"/>
        <v>Oct</v>
      </c>
      <c r="I190" s="54">
        <f t="shared" ca="1" si="5"/>
        <v>16</v>
      </c>
      <c r="J190" s="55" t="s">
        <v>257</v>
      </c>
      <c r="K190" s="56">
        <v>58600</v>
      </c>
      <c r="L190" s="57">
        <v>5</v>
      </c>
      <c r="M190" s="58"/>
    </row>
    <row r="191" spans="1:13" x14ac:dyDescent="0.25">
      <c r="A191" s="42" t="s">
        <v>472</v>
      </c>
      <c r="B191" s="49" t="s">
        <v>280</v>
      </c>
      <c r="C191" s="42" t="s">
        <v>465</v>
      </c>
      <c r="D191" s="75">
        <v>647552282</v>
      </c>
      <c r="E191" s="76">
        <v>9193392642</v>
      </c>
      <c r="F191" s="42" t="s">
        <v>247</v>
      </c>
      <c r="G191" s="52">
        <v>35266</v>
      </c>
      <c r="H191" s="53" t="str">
        <f t="shared" si="4"/>
        <v>Jul</v>
      </c>
      <c r="I191" s="54">
        <f t="shared" ca="1" si="5"/>
        <v>20</v>
      </c>
      <c r="J191" s="55"/>
      <c r="K191" s="56">
        <v>42550</v>
      </c>
      <c r="L191" s="57">
        <v>3</v>
      </c>
      <c r="M191" s="58"/>
    </row>
    <row r="192" spans="1:13" x14ac:dyDescent="0.25">
      <c r="A192" s="42" t="s">
        <v>473</v>
      </c>
      <c r="B192" s="49" t="s">
        <v>266</v>
      </c>
      <c r="C192" s="42" t="s">
        <v>465</v>
      </c>
      <c r="D192" s="75">
        <v>906321388</v>
      </c>
      <c r="E192" s="76">
        <v>2527919826</v>
      </c>
      <c r="F192" s="42" t="s">
        <v>247</v>
      </c>
      <c r="G192" s="52">
        <v>36361</v>
      </c>
      <c r="H192" s="53" t="str">
        <f t="shared" si="4"/>
        <v>Jul</v>
      </c>
      <c r="I192" s="54">
        <f t="shared" ca="1" si="5"/>
        <v>17</v>
      </c>
      <c r="J192" s="55"/>
      <c r="K192" s="56">
        <v>33910</v>
      </c>
      <c r="L192" s="57">
        <v>5</v>
      </c>
      <c r="M192" s="58"/>
    </row>
    <row r="193" spans="1:13" x14ac:dyDescent="0.25">
      <c r="A193" s="42" t="s">
        <v>474</v>
      </c>
      <c r="B193" s="49" t="s">
        <v>251</v>
      </c>
      <c r="C193" s="42" t="s">
        <v>465</v>
      </c>
      <c r="D193" s="75">
        <v>884025623</v>
      </c>
      <c r="E193" s="76">
        <v>2521280865</v>
      </c>
      <c r="F193" s="42" t="s">
        <v>247</v>
      </c>
      <c r="G193" s="52">
        <v>35032</v>
      </c>
      <c r="H193" s="53" t="str">
        <f t="shared" si="4"/>
        <v>Nov</v>
      </c>
      <c r="I193" s="54">
        <f t="shared" ca="1" si="5"/>
        <v>20</v>
      </c>
      <c r="J193" s="55"/>
      <c r="K193" s="56">
        <v>77320</v>
      </c>
      <c r="L193" s="57">
        <v>4</v>
      </c>
      <c r="M193" s="58"/>
    </row>
    <row r="194" spans="1:13" x14ac:dyDescent="0.25">
      <c r="A194" s="42" t="s">
        <v>475</v>
      </c>
      <c r="B194" s="49" t="s">
        <v>245</v>
      </c>
      <c r="C194" s="42" t="s">
        <v>465</v>
      </c>
      <c r="D194" s="75">
        <v>318068637</v>
      </c>
      <c r="E194" s="76">
        <v>9193709408</v>
      </c>
      <c r="F194" s="42" t="s">
        <v>247</v>
      </c>
      <c r="G194" s="52">
        <v>40539</v>
      </c>
      <c r="H194" s="53" t="str">
        <f t="shared" ref="H194:H257" si="6">CHOOSE(MONTH(G194),"Jan","Feb","Mar","Apr","May","Jun","Jul","Aug","Sep","Oct","Nov","Dec")</f>
        <v>Dec</v>
      </c>
      <c r="I194" s="54">
        <f t="shared" ref="I194:I257" ca="1" si="7">DATEDIF(G194,TODAY(),"Y")</f>
        <v>5</v>
      </c>
      <c r="J194" s="55"/>
      <c r="K194" s="56">
        <v>75340</v>
      </c>
      <c r="L194" s="57">
        <v>4</v>
      </c>
      <c r="M194" s="58"/>
    </row>
    <row r="195" spans="1:13" x14ac:dyDescent="0.25">
      <c r="A195" s="42" t="s">
        <v>476</v>
      </c>
      <c r="B195" s="49" t="s">
        <v>285</v>
      </c>
      <c r="C195" s="42" t="s">
        <v>465</v>
      </c>
      <c r="D195" s="75">
        <v>356242235</v>
      </c>
      <c r="E195" s="76">
        <v>2521667727</v>
      </c>
      <c r="F195" s="42" t="s">
        <v>261</v>
      </c>
      <c r="G195" s="52">
        <v>37605</v>
      </c>
      <c r="H195" s="53" t="str">
        <f t="shared" si="6"/>
        <v>Dec</v>
      </c>
      <c r="I195" s="54">
        <f t="shared" ca="1" si="7"/>
        <v>13</v>
      </c>
      <c r="J195" s="55" t="s">
        <v>283</v>
      </c>
      <c r="K195" s="56">
        <v>56050</v>
      </c>
      <c r="L195" s="57">
        <v>3</v>
      </c>
      <c r="M195" s="58"/>
    </row>
    <row r="196" spans="1:13" x14ac:dyDescent="0.25">
      <c r="A196" s="42" t="s">
        <v>477</v>
      </c>
      <c r="B196" s="49" t="s">
        <v>245</v>
      </c>
      <c r="C196" s="42" t="s">
        <v>465</v>
      </c>
      <c r="D196" s="75">
        <v>612295735</v>
      </c>
      <c r="E196" s="76">
        <v>9195228292</v>
      </c>
      <c r="F196" s="42" t="s">
        <v>256</v>
      </c>
      <c r="G196" s="52">
        <v>36512</v>
      </c>
      <c r="H196" s="53" t="str">
        <f t="shared" si="6"/>
        <v>Dec</v>
      </c>
      <c r="I196" s="54">
        <f t="shared" ca="1" si="7"/>
        <v>16</v>
      </c>
      <c r="J196" s="55" t="s">
        <v>283</v>
      </c>
      <c r="K196" s="56">
        <v>87770</v>
      </c>
      <c r="L196" s="57">
        <v>5</v>
      </c>
      <c r="M196" s="58"/>
    </row>
    <row r="197" spans="1:13" x14ac:dyDescent="0.25">
      <c r="A197" s="42" t="s">
        <v>478</v>
      </c>
      <c r="B197" s="49" t="s">
        <v>285</v>
      </c>
      <c r="C197" s="42" t="s">
        <v>465</v>
      </c>
      <c r="D197" s="75">
        <v>725801036</v>
      </c>
      <c r="E197" s="76">
        <v>9195089157</v>
      </c>
      <c r="F197" s="42" t="s">
        <v>247</v>
      </c>
      <c r="G197" s="52">
        <v>36973</v>
      </c>
      <c r="H197" s="53" t="str">
        <f t="shared" si="6"/>
        <v>Mar</v>
      </c>
      <c r="I197" s="54">
        <f t="shared" ca="1" si="7"/>
        <v>15</v>
      </c>
      <c r="J197" s="55"/>
      <c r="K197" s="56">
        <v>86050</v>
      </c>
      <c r="L197" s="57">
        <v>5</v>
      </c>
      <c r="M197" s="58"/>
    </row>
    <row r="198" spans="1:13" x14ac:dyDescent="0.25">
      <c r="A198" s="42" t="s">
        <v>479</v>
      </c>
      <c r="B198" s="49" t="s">
        <v>271</v>
      </c>
      <c r="C198" s="42" t="s">
        <v>465</v>
      </c>
      <c r="D198" s="75">
        <v>415299442</v>
      </c>
      <c r="E198" s="76">
        <v>2521408985</v>
      </c>
      <c r="F198" s="42" t="s">
        <v>256</v>
      </c>
      <c r="G198" s="52">
        <v>40697</v>
      </c>
      <c r="H198" s="53" t="str">
        <f t="shared" si="6"/>
        <v>Jun</v>
      </c>
      <c r="I198" s="54">
        <f t="shared" ca="1" si="7"/>
        <v>5</v>
      </c>
      <c r="J198" s="55" t="s">
        <v>257</v>
      </c>
      <c r="K198" s="56">
        <v>83180</v>
      </c>
      <c r="L198" s="57">
        <v>3</v>
      </c>
      <c r="M198" s="58"/>
    </row>
    <row r="199" spans="1:13" x14ac:dyDescent="0.25">
      <c r="A199" s="42" t="s">
        <v>480</v>
      </c>
      <c r="B199" s="49" t="s">
        <v>271</v>
      </c>
      <c r="C199" s="42" t="s">
        <v>465</v>
      </c>
      <c r="D199" s="75">
        <v>387517948</v>
      </c>
      <c r="E199" s="76">
        <v>9198213594</v>
      </c>
      <c r="F199" s="42" t="s">
        <v>256</v>
      </c>
      <c r="G199" s="52">
        <v>41635</v>
      </c>
      <c r="H199" s="53" t="str">
        <f t="shared" si="6"/>
        <v>Dec</v>
      </c>
      <c r="I199" s="54">
        <f t="shared" ca="1" si="7"/>
        <v>2</v>
      </c>
      <c r="J199" s="55" t="s">
        <v>257</v>
      </c>
      <c r="K199" s="56">
        <v>56930</v>
      </c>
      <c r="L199" s="57">
        <v>3</v>
      </c>
      <c r="M199" s="58"/>
    </row>
    <row r="200" spans="1:13" x14ac:dyDescent="0.25">
      <c r="A200" s="42" t="s">
        <v>481</v>
      </c>
      <c r="B200" s="49" t="s">
        <v>245</v>
      </c>
      <c r="C200" s="42" t="s">
        <v>465</v>
      </c>
      <c r="D200" s="75">
        <v>466947318</v>
      </c>
      <c r="E200" s="76">
        <v>9191765611</v>
      </c>
      <c r="F200" s="42" t="s">
        <v>256</v>
      </c>
      <c r="G200" s="52">
        <v>41579</v>
      </c>
      <c r="H200" s="53" t="str">
        <f t="shared" si="6"/>
        <v>Nov</v>
      </c>
      <c r="I200" s="54">
        <f t="shared" ca="1" si="7"/>
        <v>3</v>
      </c>
      <c r="J200" s="55" t="s">
        <v>257</v>
      </c>
      <c r="K200" s="56">
        <v>52580</v>
      </c>
      <c r="L200" s="57">
        <v>2</v>
      </c>
      <c r="M200" s="58"/>
    </row>
    <row r="201" spans="1:13" x14ac:dyDescent="0.25">
      <c r="A201" s="42" t="s">
        <v>482</v>
      </c>
      <c r="B201" s="49" t="s">
        <v>251</v>
      </c>
      <c r="C201" s="42" t="s">
        <v>465</v>
      </c>
      <c r="D201" s="75">
        <v>682907379</v>
      </c>
      <c r="E201" s="76">
        <v>2521854525</v>
      </c>
      <c r="F201" s="42" t="s">
        <v>256</v>
      </c>
      <c r="G201" s="52">
        <v>36312</v>
      </c>
      <c r="H201" s="53" t="str">
        <f t="shared" si="6"/>
        <v>Jun</v>
      </c>
      <c r="I201" s="54">
        <f t="shared" ca="1" si="7"/>
        <v>17</v>
      </c>
      <c r="J201" s="55" t="s">
        <v>267</v>
      </c>
      <c r="K201" s="56">
        <v>47420</v>
      </c>
      <c r="L201" s="57">
        <v>5</v>
      </c>
      <c r="M201" s="58"/>
    </row>
    <row r="202" spans="1:13" x14ac:dyDescent="0.25">
      <c r="A202" s="42" t="s">
        <v>483</v>
      </c>
      <c r="B202" s="49" t="s">
        <v>280</v>
      </c>
      <c r="C202" s="42" t="s">
        <v>465</v>
      </c>
      <c r="D202" s="75">
        <v>826450563</v>
      </c>
      <c r="E202" s="76">
        <v>9196607355</v>
      </c>
      <c r="F202" s="42" t="s">
        <v>247</v>
      </c>
      <c r="G202" s="52">
        <v>37705</v>
      </c>
      <c r="H202" s="53" t="str">
        <f t="shared" si="6"/>
        <v>Mar</v>
      </c>
      <c r="I202" s="54">
        <f t="shared" ca="1" si="7"/>
        <v>13</v>
      </c>
      <c r="J202" s="55"/>
      <c r="K202" s="56">
        <v>69310</v>
      </c>
      <c r="L202" s="57">
        <v>3</v>
      </c>
      <c r="M202" s="58"/>
    </row>
    <row r="203" spans="1:13" x14ac:dyDescent="0.25">
      <c r="A203" s="42" t="s">
        <v>484</v>
      </c>
      <c r="B203" s="49" t="s">
        <v>285</v>
      </c>
      <c r="C203" s="42" t="s">
        <v>465</v>
      </c>
      <c r="D203" s="75">
        <v>618535019</v>
      </c>
      <c r="E203" s="76">
        <v>9193695179</v>
      </c>
      <c r="F203" s="42" t="s">
        <v>256</v>
      </c>
      <c r="G203" s="52">
        <v>36933</v>
      </c>
      <c r="H203" s="53" t="str">
        <f t="shared" si="6"/>
        <v>Feb</v>
      </c>
      <c r="I203" s="54">
        <f t="shared" ca="1" si="7"/>
        <v>15</v>
      </c>
      <c r="J203" s="55" t="s">
        <v>283</v>
      </c>
      <c r="K203" s="56">
        <v>107690</v>
      </c>
      <c r="L203" s="57">
        <v>5</v>
      </c>
      <c r="M203" s="58"/>
    </row>
    <row r="204" spans="1:13" x14ac:dyDescent="0.25">
      <c r="A204" s="42" t="s">
        <v>485</v>
      </c>
      <c r="B204" s="49" t="s">
        <v>271</v>
      </c>
      <c r="C204" s="42" t="s">
        <v>465</v>
      </c>
      <c r="D204" s="75">
        <v>665773893</v>
      </c>
      <c r="E204" s="76">
        <v>9198857217</v>
      </c>
      <c r="F204" s="42" t="s">
        <v>252</v>
      </c>
      <c r="G204" s="52">
        <v>41575</v>
      </c>
      <c r="H204" s="53" t="str">
        <f t="shared" si="6"/>
        <v>Oct</v>
      </c>
      <c r="I204" s="54">
        <f t="shared" ca="1" si="7"/>
        <v>3</v>
      </c>
      <c r="J204" s="55"/>
      <c r="K204" s="56">
        <v>34110</v>
      </c>
      <c r="L204" s="57">
        <v>4</v>
      </c>
      <c r="M204" s="58"/>
    </row>
    <row r="205" spans="1:13" x14ac:dyDescent="0.25">
      <c r="A205" s="42" t="s">
        <v>486</v>
      </c>
      <c r="B205" s="49" t="s">
        <v>251</v>
      </c>
      <c r="C205" s="42" t="s">
        <v>465</v>
      </c>
      <c r="D205" s="75">
        <v>923123594</v>
      </c>
      <c r="E205" s="76">
        <v>2528669137</v>
      </c>
      <c r="F205" s="42" t="s">
        <v>256</v>
      </c>
      <c r="G205" s="52">
        <v>37199</v>
      </c>
      <c r="H205" s="53" t="str">
        <f t="shared" si="6"/>
        <v>Nov</v>
      </c>
      <c r="I205" s="54">
        <f t="shared" ca="1" si="7"/>
        <v>15</v>
      </c>
      <c r="J205" s="55" t="s">
        <v>276</v>
      </c>
      <c r="K205" s="56">
        <v>97680</v>
      </c>
      <c r="L205" s="57">
        <v>2</v>
      </c>
      <c r="M205" s="58"/>
    </row>
    <row r="206" spans="1:13" x14ac:dyDescent="0.25">
      <c r="A206" s="42" t="s">
        <v>487</v>
      </c>
      <c r="B206" s="49" t="s">
        <v>280</v>
      </c>
      <c r="C206" s="42" t="s">
        <v>465</v>
      </c>
      <c r="D206" s="75">
        <v>487810878</v>
      </c>
      <c r="E206" s="76">
        <v>9194555389</v>
      </c>
      <c r="F206" s="42" t="s">
        <v>256</v>
      </c>
      <c r="G206" s="52">
        <v>35069</v>
      </c>
      <c r="H206" s="53" t="str">
        <f t="shared" si="6"/>
        <v>Jan</v>
      </c>
      <c r="I206" s="54">
        <f t="shared" ca="1" si="7"/>
        <v>20</v>
      </c>
      <c r="J206" s="55" t="s">
        <v>283</v>
      </c>
      <c r="K206" s="56">
        <v>28000</v>
      </c>
      <c r="L206" s="57">
        <v>4</v>
      </c>
      <c r="M206" s="58"/>
    </row>
    <row r="207" spans="1:13" x14ac:dyDescent="0.25">
      <c r="A207" s="42" t="s">
        <v>488</v>
      </c>
      <c r="B207" s="49" t="s">
        <v>266</v>
      </c>
      <c r="C207" s="42" t="s">
        <v>465</v>
      </c>
      <c r="D207" s="75">
        <v>165917010</v>
      </c>
      <c r="E207" s="76">
        <v>2527038033</v>
      </c>
      <c r="F207" s="42" t="s">
        <v>247</v>
      </c>
      <c r="G207" s="52">
        <v>35672</v>
      </c>
      <c r="H207" s="53" t="str">
        <f t="shared" si="6"/>
        <v>Aug</v>
      </c>
      <c r="I207" s="54">
        <f t="shared" ca="1" si="7"/>
        <v>19</v>
      </c>
      <c r="J207" s="55"/>
      <c r="K207" s="56">
        <v>96830</v>
      </c>
      <c r="L207" s="57">
        <v>3</v>
      </c>
      <c r="M207" s="58"/>
    </row>
    <row r="208" spans="1:13" x14ac:dyDescent="0.25">
      <c r="A208" s="42" t="s">
        <v>489</v>
      </c>
      <c r="B208" s="49" t="s">
        <v>285</v>
      </c>
      <c r="C208" s="42" t="s">
        <v>465</v>
      </c>
      <c r="D208" s="75">
        <v>337370590</v>
      </c>
      <c r="E208" s="76">
        <v>9197046530</v>
      </c>
      <c r="F208" s="42" t="s">
        <v>247</v>
      </c>
      <c r="G208" s="52">
        <v>39045</v>
      </c>
      <c r="H208" s="53" t="str">
        <f t="shared" si="6"/>
        <v>Nov</v>
      </c>
      <c r="I208" s="54">
        <f t="shared" ca="1" si="7"/>
        <v>9</v>
      </c>
      <c r="J208" s="55"/>
      <c r="K208" s="56">
        <v>68890</v>
      </c>
      <c r="L208" s="57">
        <v>2</v>
      </c>
      <c r="M208" s="58"/>
    </row>
    <row r="209" spans="1:13" x14ac:dyDescent="0.25">
      <c r="A209" s="42" t="s">
        <v>490</v>
      </c>
      <c r="B209" s="49" t="s">
        <v>245</v>
      </c>
      <c r="C209" s="42" t="s">
        <v>465</v>
      </c>
      <c r="D209" s="75">
        <v>354619285</v>
      </c>
      <c r="E209" s="76">
        <v>2526657361</v>
      </c>
      <c r="F209" s="42" t="s">
        <v>256</v>
      </c>
      <c r="G209" s="52">
        <v>37123</v>
      </c>
      <c r="H209" s="53" t="str">
        <f t="shared" si="6"/>
        <v>Aug</v>
      </c>
      <c r="I209" s="54">
        <f t="shared" ca="1" si="7"/>
        <v>15</v>
      </c>
      <c r="J209" s="55" t="s">
        <v>262</v>
      </c>
      <c r="K209" s="56">
        <v>27190</v>
      </c>
      <c r="L209" s="57">
        <v>2</v>
      </c>
      <c r="M209" s="58"/>
    </row>
    <row r="210" spans="1:13" x14ac:dyDescent="0.25">
      <c r="A210" s="42" t="s">
        <v>491</v>
      </c>
      <c r="B210" s="49" t="s">
        <v>271</v>
      </c>
      <c r="C210" s="42" t="s">
        <v>465</v>
      </c>
      <c r="D210" s="75">
        <v>806508287</v>
      </c>
      <c r="E210" s="76">
        <v>2528801464</v>
      </c>
      <c r="F210" s="42" t="s">
        <v>256</v>
      </c>
      <c r="G210" s="52">
        <v>34632</v>
      </c>
      <c r="H210" s="53" t="str">
        <f t="shared" si="6"/>
        <v>Oct</v>
      </c>
      <c r="I210" s="54">
        <f t="shared" ca="1" si="7"/>
        <v>22</v>
      </c>
      <c r="J210" s="55" t="s">
        <v>257</v>
      </c>
      <c r="K210" s="56">
        <v>63530</v>
      </c>
      <c r="L210" s="57">
        <v>4</v>
      </c>
      <c r="M210" s="58"/>
    </row>
    <row r="211" spans="1:13" x14ac:dyDescent="0.25">
      <c r="A211" s="42" t="s">
        <v>492</v>
      </c>
      <c r="B211" s="49" t="s">
        <v>271</v>
      </c>
      <c r="C211" s="42" t="s">
        <v>465</v>
      </c>
      <c r="D211" s="75">
        <v>332289257</v>
      </c>
      <c r="E211" s="76">
        <v>9198367725</v>
      </c>
      <c r="F211" s="42" t="s">
        <v>247</v>
      </c>
      <c r="G211" s="52">
        <v>36993</v>
      </c>
      <c r="H211" s="53" t="str">
        <f t="shared" si="6"/>
        <v>Apr</v>
      </c>
      <c r="I211" s="54">
        <f t="shared" ca="1" si="7"/>
        <v>15</v>
      </c>
      <c r="J211" s="55"/>
      <c r="K211" s="56">
        <v>81910</v>
      </c>
      <c r="L211" s="57">
        <v>5</v>
      </c>
      <c r="M211" s="58"/>
    </row>
    <row r="212" spans="1:13" x14ac:dyDescent="0.25">
      <c r="A212" s="42" t="s">
        <v>493</v>
      </c>
      <c r="B212" s="49" t="s">
        <v>266</v>
      </c>
      <c r="C212" s="42" t="s">
        <v>465</v>
      </c>
      <c r="D212" s="75">
        <v>143534593</v>
      </c>
      <c r="E212" s="76">
        <v>2527172882</v>
      </c>
      <c r="F212" s="42" t="s">
        <v>247</v>
      </c>
      <c r="G212" s="52">
        <v>38821</v>
      </c>
      <c r="H212" s="53" t="str">
        <f t="shared" si="6"/>
        <v>Apr</v>
      </c>
      <c r="I212" s="54">
        <f t="shared" ca="1" si="7"/>
        <v>10</v>
      </c>
      <c r="J212" s="55"/>
      <c r="K212" s="56">
        <v>90500</v>
      </c>
      <c r="L212" s="57">
        <v>1</v>
      </c>
      <c r="M212" s="58"/>
    </row>
    <row r="213" spans="1:13" x14ac:dyDescent="0.25">
      <c r="A213" s="42" t="s">
        <v>494</v>
      </c>
      <c r="B213" s="49" t="s">
        <v>280</v>
      </c>
      <c r="C213" s="42" t="s">
        <v>465</v>
      </c>
      <c r="D213" s="75">
        <v>396727504</v>
      </c>
      <c r="E213" s="76">
        <v>9193204992</v>
      </c>
      <c r="F213" s="42" t="s">
        <v>247</v>
      </c>
      <c r="G213" s="52">
        <v>37601</v>
      </c>
      <c r="H213" s="53" t="str">
        <f t="shared" si="6"/>
        <v>Dec</v>
      </c>
      <c r="I213" s="54">
        <f t="shared" ca="1" si="7"/>
        <v>13</v>
      </c>
      <c r="J213" s="55"/>
      <c r="K213" s="56">
        <v>50210</v>
      </c>
      <c r="L213" s="57">
        <v>2</v>
      </c>
      <c r="M213" s="58"/>
    </row>
    <row r="214" spans="1:13" x14ac:dyDescent="0.25">
      <c r="A214" s="42" t="s">
        <v>495</v>
      </c>
      <c r="B214" s="49" t="s">
        <v>285</v>
      </c>
      <c r="C214" s="42" t="s">
        <v>465</v>
      </c>
      <c r="D214" s="75">
        <v>561737107</v>
      </c>
      <c r="E214" s="76">
        <v>9198294156</v>
      </c>
      <c r="F214" s="42" t="s">
        <v>256</v>
      </c>
      <c r="G214" s="52">
        <v>36025</v>
      </c>
      <c r="H214" s="53" t="str">
        <f t="shared" si="6"/>
        <v>Aug</v>
      </c>
      <c r="I214" s="54">
        <f t="shared" ca="1" si="7"/>
        <v>18</v>
      </c>
      <c r="J214" s="55" t="s">
        <v>283</v>
      </c>
      <c r="K214" s="56">
        <v>87690</v>
      </c>
      <c r="L214" s="57">
        <v>5</v>
      </c>
      <c r="M214" s="58"/>
    </row>
    <row r="215" spans="1:13" x14ac:dyDescent="0.25">
      <c r="A215" s="42" t="s">
        <v>496</v>
      </c>
      <c r="B215" s="49" t="s">
        <v>245</v>
      </c>
      <c r="C215" s="42" t="s">
        <v>465</v>
      </c>
      <c r="D215" s="75">
        <v>470935648</v>
      </c>
      <c r="E215" s="76">
        <v>9192053579</v>
      </c>
      <c r="F215" s="42" t="s">
        <v>247</v>
      </c>
      <c r="G215" s="52">
        <v>39538</v>
      </c>
      <c r="H215" s="53" t="str">
        <f t="shared" si="6"/>
        <v>Mar</v>
      </c>
      <c r="I215" s="54">
        <f t="shared" ca="1" si="7"/>
        <v>8</v>
      </c>
      <c r="J215" s="55"/>
      <c r="K215" s="56">
        <v>47620</v>
      </c>
      <c r="L215" s="57">
        <v>1</v>
      </c>
      <c r="M215" s="58"/>
    </row>
    <row r="216" spans="1:13" x14ac:dyDescent="0.25">
      <c r="A216" s="42" t="s">
        <v>497</v>
      </c>
      <c r="B216" s="49" t="s">
        <v>285</v>
      </c>
      <c r="C216" s="42" t="s">
        <v>465</v>
      </c>
      <c r="D216" s="75">
        <v>337943008</v>
      </c>
      <c r="E216" s="76">
        <v>2521257896</v>
      </c>
      <c r="F216" s="42" t="s">
        <v>256</v>
      </c>
      <c r="G216" s="52">
        <v>38395</v>
      </c>
      <c r="H216" s="53" t="str">
        <f t="shared" si="6"/>
        <v>Feb</v>
      </c>
      <c r="I216" s="54">
        <f t="shared" ca="1" si="7"/>
        <v>11</v>
      </c>
      <c r="J216" s="55" t="s">
        <v>257</v>
      </c>
      <c r="K216" s="56">
        <v>34760</v>
      </c>
      <c r="L216" s="57">
        <v>3</v>
      </c>
      <c r="M216" s="58"/>
    </row>
    <row r="217" spans="1:13" x14ac:dyDescent="0.25">
      <c r="A217" s="42" t="s">
        <v>498</v>
      </c>
      <c r="B217" s="49" t="s">
        <v>271</v>
      </c>
      <c r="C217" s="42" t="s">
        <v>465</v>
      </c>
      <c r="D217" s="75">
        <v>220781349</v>
      </c>
      <c r="E217" s="76">
        <v>2525185281</v>
      </c>
      <c r="F217" s="42" t="s">
        <v>247</v>
      </c>
      <c r="G217" s="52">
        <v>35150</v>
      </c>
      <c r="H217" s="53" t="str">
        <f t="shared" si="6"/>
        <v>Mar</v>
      </c>
      <c r="I217" s="54">
        <f t="shared" ca="1" si="7"/>
        <v>20</v>
      </c>
      <c r="J217" s="55"/>
      <c r="K217" s="56">
        <v>54920</v>
      </c>
      <c r="L217" s="57">
        <v>5</v>
      </c>
      <c r="M217" s="58"/>
    </row>
    <row r="218" spans="1:13" x14ac:dyDescent="0.25">
      <c r="A218" s="42" t="s">
        <v>499</v>
      </c>
      <c r="B218" s="49" t="s">
        <v>280</v>
      </c>
      <c r="C218" s="42" t="s">
        <v>465</v>
      </c>
      <c r="D218" s="75">
        <v>620336005</v>
      </c>
      <c r="E218" s="76">
        <v>9196422185</v>
      </c>
      <c r="F218" s="42" t="s">
        <v>256</v>
      </c>
      <c r="G218" s="52">
        <v>39378</v>
      </c>
      <c r="H218" s="53" t="str">
        <f t="shared" si="6"/>
        <v>Oct</v>
      </c>
      <c r="I218" s="54">
        <f t="shared" ca="1" si="7"/>
        <v>9</v>
      </c>
      <c r="J218" s="55" t="s">
        <v>257</v>
      </c>
      <c r="K218" s="56">
        <v>49270</v>
      </c>
      <c r="L218" s="57">
        <v>3</v>
      </c>
      <c r="M218" s="58"/>
    </row>
    <row r="219" spans="1:13" x14ac:dyDescent="0.25">
      <c r="A219" s="42" t="s">
        <v>500</v>
      </c>
      <c r="B219" s="49" t="s">
        <v>245</v>
      </c>
      <c r="C219" s="42" t="s">
        <v>465</v>
      </c>
      <c r="D219" s="75">
        <v>436778229</v>
      </c>
      <c r="E219" s="76">
        <v>2525871924</v>
      </c>
      <c r="F219" s="42" t="s">
        <v>247</v>
      </c>
      <c r="G219" s="52">
        <v>40823</v>
      </c>
      <c r="H219" s="53" t="str">
        <f t="shared" si="6"/>
        <v>Oct</v>
      </c>
      <c r="I219" s="54">
        <f t="shared" ca="1" si="7"/>
        <v>5</v>
      </c>
      <c r="J219" s="55"/>
      <c r="K219" s="56">
        <v>72050</v>
      </c>
      <c r="L219" s="57">
        <v>5</v>
      </c>
      <c r="M219" s="58"/>
    </row>
    <row r="220" spans="1:13" x14ac:dyDescent="0.25">
      <c r="A220" s="42" t="s">
        <v>501</v>
      </c>
      <c r="B220" s="49" t="s">
        <v>266</v>
      </c>
      <c r="C220" s="42" t="s">
        <v>465</v>
      </c>
      <c r="D220" s="75">
        <v>292993080</v>
      </c>
      <c r="E220" s="76">
        <v>2525085320</v>
      </c>
      <c r="F220" s="42" t="s">
        <v>256</v>
      </c>
      <c r="G220" s="52">
        <v>40456</v>
      </c>
      <c r="H220" s="53" t="str">
        <f t="shared" si="6"/>
        <v>Oct</v>
      </c>
      <c r="I220" s="54">
        <f t="shared" ca="1" si="7"/>
        <v>6</v>
      </c>
      <c r="J220" s="55" t="s">
        <v>283</v>
      </c>
      <c r="K220" s="56">
        <v>71300</v>
      </c>
      <c r="L220" s="57">
        <v>4</v>
      </c>
      <c r="M220" s="58"/>
    </row>
    <row r="221" spans="1:13" x14ac:dyDescent="0.25">
      <c r="A221" s="42" t="s">
        <v>502</v>
      </c>
      <c r="B221" s="49" t="s">
        <v>266</v>
      </c>
      <c r="C221" s="42" t="s">
        <v>465</v>
      </c>
      <c r="D221" s="75">
        <v>378189642</v>
      </c>
      <c r="E221" s="76">
        <v>2526228199</v>
      </c>
      <c r="F221" s="42" t="s">
        <v>247</v>
      </c>
      <c r="G221" s="52">
        <v>38900</v>
      </c>
      <c r="H221" s="53" t="str">
        <f t="shared" si="6"/>
        <v>Jul</v>
      </c>
      <c r="I221" s="54">
        <f t="shared" ca="1" si="7"/>
        <v>10</v>
      </c>
      <c r="J221" s="55"/>
      <c r="K221" s="56">
        <v>77060</v>
      </c>
      <c r="L221" s="57">
        <v>5</v>
      </c>
      <c r="M221" s="58"/>
    </row>
    <row r="222" spans="1:13" x14ac:dyDescent="0.25">
      <c r="A222" s="42" t="s">
        <v>503</v>
      </c>
      <c r="B222" s="49" t="s">
        <v>271</v>
      </c>
      <c r="C222" s="42" t="s">
        <v>465</v>
      </c>
      <c r="D222" s="75">
        <v>708108747</v>
      </c>
      <c r="E222" s="76">
        <v>9192520526</v>
      </c>
      <c r="F222" s="42" t="s">
        <v>256</v>
      </c>
      <c r="G222" s="52">
        <v>38944</v>
      </c>
      <c r="H222" s="53" t="str">
        <f t="shared" si="6"/>
        <v>Aug</v>
      </c>
      <c r="I222" s="54">
        <f t="shared" ca="1" si="7"/>
        <v>10</v>
      </c>
      <c r="J222" s="55" t="s">
        <v>257</v>
      </c>
      <c r="K222" s="56">
        <v>90210</v>
      </c>
      <c r="L222" s="57">
        <v>3</v>
      </c>
      <c r="M222" s="58"/>
    </row>
    <row r="223" spans="1:13" x14ac:dyDescent="0.25">
      <c r="A223" s="42" t="s">
        <v>504</v>
      </c>
      <c r="B223" s="49" t="s">
        <v>280</v>
      </c>
      <c r="C223" s="42" t="s">
        <v>465</v>
      </c>
      <c r="D223" s="75">
        <v>504914685</v>
      </c>
      <c r="E223" s="76">
        <v>9195250630</v>
      </c>
      <c r="F223" s="42" t="s">
        <v>256</v>
      </c>
      <c r="G223" s="52">
        <v>37085</v>
      </c>
      <c r="H223" s="53" t="str">
        <f t="shared" si="6"/>
        <v>Jul</v>
      </c>
      <c r="I223" s="54">
        <f t="shared" ca="1" si="7"/>
        <v>15</v>
      </c>
      <c r="J223" s="55" t="s">
        <v>257</v>
      </c>
      <c r="K223" s="56">
        <v>39850</v>
      </c>
      <c r="L223" s="57">
        <v>4</v>
      </c>
      <c r="M223" s="58"/>
    </row>
    <row r="224" spans="1:13" x14ac:dyDescent="0.25">
      <c r="A224" s="42" t="s">
        <v>505</v>
      </c>
      <c r="B224" s="49" t="s">
        <v>271</v>
      </c>
      <c r="C224" s="42" t="s">
        <v>465</v>
      </c>
      <c r="D224" s="75">
        <v>384454025</v>
      </c>
      <c r="E224" s="76">
        <v>2522064219</v>
      </c>
      <c r="F224" s="42" t="s">
        <v>247</v>
      </c>
      <c r="G224" s="52">
        <v>37456</v>
      </c>
      <c r="H224" s="53" t="str">
        <f t="shared" si="6"/>
        <v>Jul</v>
      </c>
      <c r="I224" s="54">
        <f t="shared" ca="1" si="7"/>
        <v>14</v>
      </c>
      <c r="J224" s="55"/>
      <c r="K224" s="56">
        <v>28570</v>
      </c>
      <c r="L224" s="57">
        <v>4</v>
      </c>
      <c r="M224" s="58"/>
    </row>
    <row r="225" spans="1:13" x14ac:dyDescent="0.25">
      <c r="A225" s="42" t="s">
        <v>506</v>
      </c>
      <c r="B225" s="49" t="s">
        <v>285</v>
      </c>
      <c r="C225" s="42" t="s">
        <v>465</v>
      </c>
      <c r="D225" s="75">
        <v>167058119</v>
      </c>
      <c r="E225" s="76">
        <v>2527237007</v>
      </c>
      <c r="F225" s="42" t="s">
        <v>252</v>
      </c>
      <c r="G225" s="52">
        <v>38731</v>
      </c>
      <c r="H225" s="53" t="str">
        <f t="shared" si="6"/>
        <v>Jan</v>
      </c>
      <c r="I225" s="54">
        <f t="shared" ca="1" si="7"/>
        <v>10</v>
      </c>
      <c r="J225" s="55"/>
      <c r="K225" s="56">
        <v>10670</v>
      </c>
      <c r="L225" s="57">
        <v>1</v>
      </c>
      <c r="M225" s="58"/>
    </row>
    <row r="226" spans="1:13" x14ac:dyDescent="0.25">
      <c r="A226" s="42" t="s">
        <v>507</v>
      </c>
      <c r="B226" s="49" t="s">
        <v>245</v>
      </c>
      <c r="C226" s="42" t="s">
        <v>465</v>
      </c>
      <c r="D226" s="75">
        <v>405396173</v>
      </c>
      <c r="E226" s="76">
        <v>2521777060</v>
      </c>
      <c r="F226" s="42" t="s">
        <v>256</v>
      </c>
      <c r="G226" s="52">
        <v>39734</v>
      </c>
      <c r="H226" s="53" t="str">
        <f t="shared" si="6"/>
        <v>Oct</v>
      </c>
      <c r="I226" s="54">
        <f t="shared" ca="1" si="7"/>
        <v>8</v>
      </c>
      <c r="J226" s="55" t="s">
        <v>276</v>
      </c>
      <c r="K226" s="56">
        <v>82450</v>
      </c>
      <c r="L226" s="57">
        <v>4</v>
      </c>
      <c r="M226" s="58"/>
    </row>
    <row r="227" spans="1:13" x14ac:dyDescent="0.25">
      <c r="A227" s="42" t="s">
        <v>508</v>
      </c>
      <c r="B227" s="49" t="s">
        <v>285</v>
      </c>
      <c r="C227" s="42" t="s">
        <v>465</v>
      </c>
      <c r="D227" s="75">
        <v>399060898</v>
      </c>
      <c r="E227" s="76">
        <v>9195197037</v>
      </c>
      <c r="F227" s="42" t="s">
        <v>247</v>
      </c>
      <c r="G227" s="52">
        <v>39322</v>
      </c>
      <c r="H227" s="53" t="str">
        <f t="shared" si="6"/>
        <v>Aug</v>
      </c>
      <c r="I227" s="54">
        <f t="shared" ca="1" si="7"/>
        <v>9</v>
      </c>
      <c r="J227" s="55"/>
      <c r="K227" s="56">
        <v>45580</v>
      </c>
      <c r="L227" s="57">
        <v>4</v>
      </c>
      <c r="M227" s="58"/>
    </row>
    <row r="228" spans="1:13" x14ac:dyDescent="0.25">
      <c r="A228" s="42" t="s">
        <v>509</v>
      </c>
      <c r="B228" s="49" t="s">
        <v>280</v>
      </c>
      <c r="C228" s="42" t="s">
        <v>465</v>
      </c>
      <c r="D228" s="75">
        <v>575270646</v>
      </c>
      <c r="E228" s="76">
        <v>9197819805</v>
      </c>
      <c r="F228" s="42" t="s">
        <v>256</v>
      </c>
      <c r="G228" s="52">
        <v>40349</v>
      </c>
      <c r="H228" s="53" t="str">
        <f t="shared" si="6"/>
        <v>Jun</v>
      </c>
      <c r="I228" s="54">
        <f t="shared" ca="1" si="7"/>
        <v>6</v>
      </c>
      <c r="J228" s="55" t="s">
        <v>257</v>
      </c>
      <c r="K228" s="56">
        <v>55460</v>
      </c>
      <c r="L228" s="57">
        <v>2</v>
      </c>
      <c r="M228" s="58"/>
    </row>
    <row r="229" spans="1:13" x14ac:dyDescent="0.25">
      <c r="A229" s="42" t="s">
        <v>510</v>
      </c>
      <c r="B229" s="49" t="s">
        <v>271</v>
      </c>
      <c r="C229" s="42" t="s">
        <v>465</v>
      </c>
      <c r="D229" s="75">
        <v>527185620</v>
      </c>
      <c r="E229" s="76">
        <v>2524627771</v>
      </c>
      <c r="F229" s="42" t="s">
        <v>256</v>
      </c>
      <c r="G229" s="52">
        <v>41271</v>
      </c>
      <c r="H229" s="53" t="str">
        <f t="shared" si="6"/>
        <v>Dec</v>
      </c>
      <c r="I229" s="54">
        <f t="shared" ca="1" si="7"/>
        <v>3</v>
      </c>
      <c r="J229" s="55" t="s">
        <v>283</v>
      </c>
      <c r="K229" s="56">
        <v>42360</v>
      </c>
      <c r="L229" s="57">
        <v>5</v>
      </c>
      <c r="M229" s="58"/>
    </row>
    <row r="230" spans="1:13" x14ac:dyDescent="0.25">
      <c r="A230" s="42" t="s">
        <v>511</v>
      </c>
      <c r="B230" s="49" t="s">
        <v>251</v>
      </c>
      <c r="C230" s="42" t="s">
        <v>465</v>
      </c>
      <c r="D230" s="75">
        <v>240272873</v>
      </c>
      <c r="E230" s="76">
        <v>9198912054</v>
      </c>
      <c r="F230" s="42" t="s">
        <v>247</v>
      </c>
      <c r="G230" s="52">
        <v>39913</v>
      </c>
      <c r="H230" s="53" t="str">
        <f t="shared" si="6"/>
        <v>Apr</v>
      </c>
      <c r="I230" s="54">
        <f t="shared" ca="1" si="7"/>
        <v>7</v>
      </c>
      <c r="J230" s="55"/>
      <c r="K230" s="56">
        <v>96400</v>
      </c>
      <c r="L230" s="57">
        <v>4</v>
      </c>
      <c r="M230" s="58"/>
    </row>
    <row r="231" spans="1:13" x14ac:dyDescent="0.25">
      <c r="A231" s="42" t="s">
        <v>512</v>
      </c>
      <c r="B231" s="49" t="s">
        <v>285</v>
      </c>
      <c r="C231" s="42" t="s">
        <v>465</v>
      </c>
      <c r="D231" s="75">
        <v>428024993</v>
      </c>
      <c r="E231" s="76">
        <v>9196410575</v>
      </c>
      <c r="F231" s="42" t="s">
        <v>247</v>
      </c>
      <c r="G231" s="52">
        <v>34775</v>
      </c>
      <c r="H231" s="53" t="str">
        <f t="shared" si="6"/>
        <v>Mar</v>
      </c>
      <c r="I231" s="54">
        <f t="shared" ca="1" si="7"/>
        <v>21</v>
      </c>
      <c r="J231" s="55"/>
      <c r="K231" s="56">
        <v>38630</v>
      </c>
      <c r="L231" s="57">
        <v>3</v>
      </c>
      <c r="M231" s="58"/>
    </row>
    <row r="232" spans="1:13" x14ac:dyDescent="0.25">
      <c r="A232" s="42" t="s">
        <v>513</v>
      </c>
      <c r="B232" s="49" t="s">
        <v>285</v>
      </c>
      <c r="C232" s="42" t="s">
        <v>465</v>
      </c>
      <c r="D232" s="75">
        <v>482927373</v>
      </c>
      <c r="E232" s="76">
        <v>9198413271</v>
      </c>
      <c r="F232" s="42" t="s">
        <v>256</v>
      </c>
      <c r="G232" s="52">
        <v>36527</v>
      </c>
      <c r="H232" s="53" t="str">
        <f t="shared" si="6"/>
        <v>Jan</v>
      </c>
      <c r="I232" s="54">
        <f t="shared" ca="1" si="7"/>
        <v>16</v>
      </c>
      <c r="J232" s="55" t="s">
        <v>283</v>
      </c>
      <c r="K232" s="56">
        <v>38870</v>
      </c>
      <c r="L232" s="57">
        <v>2</v>
      </c>
      <c r="M232" s="58"/>
    </row>
    <row r="233" spans="1:13" x14ac:dyDescent="0.25">
      <c r="A233" s="42" t="s">
        <v>514</v>
      </c>
      <c r="B233" s="49" t="s">
        <v>251</v>
      </c>
      <c r="C233" s="42" t="s">
        <v>465</v>
      </c>
      <c r="D233" s="75">
        <v>317844971</v>
      </c>
      <c r="E233" s="76">
        <v>9193557946</v>
      </c>
      <c r="F233" s="42" t="s">
        <v>247</v>
      </c>
      <c r="G233" s="52">
        <v>36928</v>
      </c>
      <c r="H233" s="53" t="str">
        <f t="shared" si="6"/>
        <v>Feb</v>
      </c>
      <c r="I233" s="54">
        <f t="shared" ca="1" si="7"/>
        <v>15</v>
      </c>
      <c r="J233" s="55"/>
      <c r="K233" s="56">
        <v>92290</v>
      </c>
      <c r="L233" s="57">
        <v>1</v>
      </c>
      <c r="M233" s="58"/>
    </row>
    <row r="234" spans="1:13" x14ac:dyDescent="0.25">
      <c r="A234" s="42" t="s">
        <v>515</v>
      </c>
      <c r="B234" s="49" t="s">
        <v>280</v>
      </c>
      <c r="C234" s="42" t="s">
        <v>465</v>
      </c>
      <c r="D234" s="75">
        <v>177332873</v>
      </c>
      <c r="E234" s="76">
        <v>9195915044</v>
      </c>
      <c r="F234" s="42" t="s">
        <v>256</v>
      </c>
      <c r="G234" s="52">
        <v>37414</v>
      </c>
      <c r="H234" s="53" t="str">
        <f t="shared" si="6"/>
        <v>Jun</v>
      </c>
      <c r="I234" s="54">
        <f t="shared" ca="1" si="7"/>
        <v>14</v>
      </c>
      <c r="J234" s="55" t="s">
        <v>257</v>
      </c>
      <c r="K234" s="56">
        <v>48070</v>
      </c>
      <c r="L234" s="57">
        <v>3</v>
      </c>
      <c r="M234" s="58"/>
    </row>
    <row r="235" spans="1:13" x14ac:dyDescent="0.25">
      <c r="A235" s="42" t="s">
        <v>516</v>
      </c>
      <c r="B235" s="49" t="s">
        <v>266</v>
      </c>
      <c r="C235" s="42" t="s">
        <v>465</v>
      </c>
      <c r="D235" s="75">
        <v>590896401</v>
      </c>
      <c r="E235" s="76">
        <v>2523122603</v>
      </c>
      <c r="F235" s="42" t="s">
        <v>256</v>
      </c>
      <c r="G235" s="52">
        <v>39322</v>
      </c>
      <c r="H235" s="53" t="str">
        <f t="shared" si="6"/>
        <v>Aug</v>
      </c>
      <c r="I235" s="54">
        <f t="shared" ca="1" si="7"/>
        <v>9</v>
      </c>
      <c r="J235" s="55" t="s">
        <v>262</v>
      </c>
      <c r="K235" s="56">
        <v>84910</v>
      </c>
      <c r="L235" s="57">
        <v>1</v>
      </c>
      <c r="M235" s="58"/>
    </row>
    <row r="236" spans="1:13" x14ac:dyDescent="0.25">
      <c r="A236" s="42" t="s">
        <v>517</v>
      </c>
      <c r="B236" s="49" t="s">
        <v>271</v>
      </c>
      <c r="C236" s="42" t="s">
        <v>465</v>
      </c>
      <c r="D236" s="75">
        <v>984570981</v>
      </c>
      <c r="E236" s="76">
        <v>2528155179</v>
      </c>
      <c r="F236" s="42" t="s">
        <v>261</v>
      </c>
      <c r="G236" s="52">
        <v>37270</v>
      </c>
      <c r="H236" s="53" t="str">
        <f t="shared" si="6"/>
        <v>Jan</v>
      </c>
      <c r="I236" s="54">
        <f t="shared" ca="1" si="7"/>
        <v>14</v>
      </c>
      <c r="J236" s="55" t="s">
        <v>283</v>
      </c>
      <c r="K236" s="56">
        <v>57830</v>
      </c>
      <c r="L236" s="57">
        <v>1</v>
      </c>
      <c r="M236" s="58"/>
    </row>
    <row r="237" spans="1:13" x14ac:dyDescent="0.25">
      <c r="A237" s="42" t="s">
        <v>518</v>
      </c>
      <c r="B237" s="49" t="s">
        <v>271</v>
      </c>
      <c r="C237" s="42" t="s">
        <v>465</v>
      </c>
      <c r="D237" s="75">
        <v>775217609</v>
      </c>
      <c r="E237" s="76">
        <v>9191591006</v>
      </c>
      <c r="F237" s="42" t="s">
        <v>256</v>
      </c>
      <c r="G237" s="52">
        <v>35405</v>
      </c>
      <c r="H237" s="53" t="str">
        <f t="shared" si="6"/>
        <v>Dec</v>
      </c>
      <c r="I237" s="54">
        <f t="shared" ca="1" si="7"/>
        <v>19</v>
      </c>
      <c r="J237" s="55" t="s">
        <v>283</v>
      </c>
      <c r="K237" s="56">
        <v>29650</v>
      </c>
      <c r="L237" s="57">
        <v>2</v>
      </c>
      <c r="M237" s="58"/>
    </row>
    <row r="238" spans="1:13" x14ac:dyDescent="0.25">
      <c r="A238" s="42" t="s">
        <v>519</v>
      </c>
      <c r="B238" s="49" t="s">
        <v>271</v>
      </c>
      <c r="C238" s="42" t="s">
        <v>465</v>
      </c>
      <c r="D238" s="75">
        <v>854806695</v>
      </c>
      <c r="E238" s="76">
        <v>9192672603</v>
      </c>
      <c r="F238" s="42" t="s">
        <v>256</v>
      </c>
      <c r="G238" s="52">
        <v>34722</v>
      </c>
      <c r="H238" s="53" t="str">
        <f t="shared" si="6"/>
        <v>Jan</v>
      </c>
      <c r="I238" s="54">
        <f t="shared" ca="1" si="7"/>
        <v>21</v>
      </c>
      <c r="J238" s="55" t="s">
        <v>283</v>
      </c>
      <c r="K238" s="56">
        <v>31430</v>
      </c>
      <c r="L238" s="57">
        <v>5</v>
      </c>
      <c r="M238" s="58"/>
    </row>
    <row r="239" spans="1:13" x14ac:dyDescent="0.25">
      <c r="A239" s="42" t="s">
        <v>520</v>
      </c>
      <c r="B239" s="49" t="s">
        <v>285</v>
      </c>
      <c r="C239" s="42" t="s">
        <v>465</v>
      </c>
      <c r="D239" s="75">
        <v>377194926</v>
      </c>
      <c r="E239" s="76">
        <v>9197362525</v>
      </c>
      <c r="F239" s="42" t="s">
        <v>256</v>
      </c>
      <c r="G239" s="52">
        <v>41604</v>
      </c>
      <c r="H239" s="53" t="str">
        <f t="shared" si="6"/>
        <v>Nov</v>
      </c>
      <c r="I239" s="54">
        <f t="shared" ca="1" si="7"/>
        <v>2</v>
      </c>
      <c r="J239" s="55" t="s">
        <v>267</v>
      </c>
      <c r="K239" s="56">
        <v>53110</v>
      </c>
      <c r="L239" s="57">
        <v>1</v>
      </c>
      <c r="M239" s="58"/>
    </row>
    <row r="240" spans="1:13" x14ac:dyDescent="0.25">
      <c r="A240" s="42" t="s">
        <v>521</v>
      </c>
      <c r="B240" s="49" t="s">
        <v>271</v>
      </c>
      <c r="C240" s="42" t="s">
        <v>465</v>
      </c>
      <c r="D240" s="75">
        <v>698869555</v>
      </c>
      <c r="E240" s="76">
        <v>2526052545</v>
      </c>
      <c r="F240" s="42" t="s">
        <v>261</v>
      </c>
      <c r="G240" s="52">
        <v>37504</v>
      </c>
      <c r="H240" s="53" t="str">
        <f t="shared" si="6"/>
        <v>Sep</v>
      </c>
      <c r="I240" s="54">
        <f t="shared" ca="1" si="7"/>
        <v>14</v>
      </c>
      <c r="J240" s="55" t="s">
        <v>267</v>
      </c>
      <c r="K240" s="56">
        <v>49940</v>
      </c>
      <c r="L240" s="57">
        <v>1</v>
      </c>
      <c r="M240" s="58"/>
    </row>
    <row r="241" spans="1:13" x14ac:dyDescent="0.25">
      <c r="A241" s="42" t="s">
        <v>522</v>
      </c>
      <c r="B241" s="49" t="s">
        <v>251</v>
      </c>
      <c r="C241" s="42" t="s">
        <v>465</v>
      </c>
      <c r="D241" s="75">
        <v>720538680</v>
      </c>
      <c r="E241" s="76">
        <v>2522126686</v>
      </c>
      <c r="F241" s="42" t="s">
        <v>256</v>
      </c>
      <c r="G241" s="52">
        <v>35484</v>
      </c>
      <c r="H241" s="53" t="str">
        <f t="shared" si="6"/>
        <v>Feb</v>
      </c>
      <c r="I241" s="54">
        <f t="shared" ca="1" si="7"/>
        <v>19</v>
      </c>
      <c r="J241" s="55" t="s">
        <v>257</v>
      </c>
      <c r="K241" s="56">
        <v>97210</v>
      </c>
      <c r="L241" s="57">
        <v>4</v>
      </c>
      <c r="M241" s="58"/>
    </row>
    <row r="242" spans="1:13" x14ac:dyDescent="0.25">
      <c r="A242" s="42" t="s">
        <v>523</v>
      </c>
      <c r="B242" s="49" t="s">
        <v>245</v>
      </c>
      <c r="C242" s="42" t="s">
        <v>465</v>
      </c>
      <c r="D242" s="75">
        <v>467030396</v>
      </c>
      <c r="E242" s="76">
        <v>2526213620</v>
      </c>
      <c r="F242" s="42" t="s">
        <v>256</v>
      </c>
      <c r="G242" s="52">
        <v>34721</v>
      </c>
      <c r="H242" s="53" t="str">
        <f t="shared" si="6"/>
        <v>Jan</v>
      </c>
      <c r="I242" s="54">
        <f t="shared" ca="1" si="7"/>
        <v>21</v>
      </c>
      <c r="J242" s="55" t="s">
        <v>283</v>
      </c>
      <c r="K242" s="56">
        <v>70690</v>
      </c>
      <c r="L242" s="57">
        <v>1</v>
      </c>
      <c r="M242" s="58"/>
    </row>
    <row r="243" spans="1:13" x14ac:dyDescent="0.25">
      <c r="A243" s="42" t="s">
        <v>524</v>
      </c>
      <c r="B243" s="49" t="s">
        <v>271</v>
      </c>
      <c r="C243" s="42" t="s">
        <v>465</v>
      </c>
      <c r="D243" s="75">
        <v>380653169</v>
      </c>
      <c r="E243" s="76">
        <v>9194743535</v>
      </c>
      <c r="F243" s="42" t="s">
        <v>256</v>
      </c>
      <c r="G243" s="52">
        <v>35152</v>
      </c>
      <c r="H243" s="53" t="str">
        <f t="shared" si="6"/>
        <v>Mar</v>
      </c>
      <c r="I243" s="54">
        <f t="shared" ca="1" si="7"/>
        <v>20</v>
      </c>
      <c r="J243" s="55" t="s">
        <v>283</v>
      </c>
      <c r="K243" s="56">
        <v>98380</v>
      </c>
      <c r="L243" s="57">
        <v>2</v>
      </c>
      <c r="M243" s="58"/>
    </row>
    <row r="244" spans="1:13" x14ac:dyDescent="0.25">
      <c r="A244" s="42" t="s">
        <v>525</v>
      </c>
      <c r="B244" s="49" t="s">
        <v>245</v>
      </c>
      <c r="C244" s="42" t="s">
        <v>465</v>
      </c>
      <c r="D244" s="75">
        <v>561968668</v>
      </c>
      <c r="E244" s="76">
        <v>2522433774</v>
      </c>
      <c r="F244" s="42" t="s">
        <v>256</v>
      </c>
      <c r="G244" s="52">
        <v>39810</v>
      </c>
      <c r="H244" s="53" t="str">
        <f t="shared" si="6"/>
        <v>Dec</v>
      </c>
      <c r="I244" s="54">
        <f t="shared" ca="1" si="7"/>
        <v>7</v>
      </c>
      <c r="J244" s="55" t="s">
        <v>262</v>
      </c>
      <c r="K244" s="56">
        <v>91900</v>
      </c>
      <c r="L244" s="57">
        <v>1</v>
      </c>
      <c r="M244" s="58"/>
    </row>
    <row r="245" spans="1:13" x14ac:dyDescent="0.25">
      <c r="A245" s="42" t="s">
        <v>526</v>
      </c>
      <c r="B245" s="49" t="s">
        <v>266</v>
      </c>
      <c r="C245" s="42" t="s">
        <v>465</v>
      </c>
      <c r="D245" s="75">
        <v>484217278</v>
      </c>
      <c r="E245" s="76">
        <v>9195627374</v>
      </c>
      <c r="F245" s="42" t="s">
        <v>252</v>
      </c>
      <c r="G245" s="52">
        <v>40748</v>
      </c>
      <c r="H245" s="53" t="str">
        <f t="shared" si="6"/>
        <v>Jul</v>
      </c>
      <c r="I245" s="54">
        <f t="shared" ca="1" si="7"/>
        <v>5</v>
      </c>
      <c r="J245" s="55"/>
      <c r="K245" s="56">
        <v>12690</v>
      </c>
      <c r="L245" s="57">
        <v>4</v>
      </c>
      <c r="M245" s="58"/>
    </row>
    <row r="246" spans="1:13" x14ac:dyDescent="0.25">
      <c r="A246" s="42" t="s">
        <v>527</v>
      </c>
      <c r="B246" s="49" t="s">
        <v>245</v>
      </c>
      <c r="C246" s="42" t="s">
        <v>465</v>
      </c>
      <c r="D246" s="75">
        <v>488831244</v>
      </c>
      <c r="E246" s="76">
        <v>9198979762</v>
      </c>
      <c r="F246" s="42" t="s">
        <v>261</v>
      </c>
      <c r="G246" s="52">
        <v>38621</v>
      </c>
      <c r="H246" s="53" t="str">
        <f t="shared" si="6"/>
        <v>Sep</v>
      </c>
      <c r="I246" s="54">
        <f t="shared" ca="1" si="7"/>
        <v>11</v>
      </c>
      <c r="J246" s="55" t="s">
        <v>257</v>
      </c>
      <c r="K246" s="56">
        <v>29350</v>
      </c>
      <c r="L246" s="57">
        <v>1</v>
      </c>
      <c r="M246" s="58"/>
    </row>
    <row r="247" spans="1:13" x14ac:dyDescent="0.25">
      <c r="A247" s="42" t="s">
        <v>528</v>
      </c>
      <c r="B247" s="49" t="s">
        <v>266</v>
      </c>
      <c r="C247" s="42" t="s">
        <v>465</v>
      </c>
      <c r="D247" s="75">
        <v>135965371</v>
      </c>
      <c r="E247" s="76">
        <v>9195592950</v>
      </c>
      <c r="F247" s="42" t="s">
        <v>256</v>
      </c>
      <c r="G247" s="52">
        <v>38937</v>
      </c>
      <c r="H247" s="53" t="str">
        <f t="shared" si="6"/>
        <v>Aug</v>
      </c>
      <c r="I247" s="54">
        <f t="shared" ca="1" si="7"/>
        <v>10</v>
      </c>
      <c r="J247" s="55" t="s">
        <v>283</v>
      </c>
      <c r="K247" s="56">
        <v>37100</v>
      </c>
      <c r="L247" s="57">
        <v>5</v>
      </c>
      <c r="M247" s="58"/>
    </row>
    <row r="248" spans="1:13" x14ac:dyDescent="0.25">
      <c r="A248" s="42" t="s">
        <v>529</v>
      </c>
      <c r="B248" s="49" t="s">
        <v>271</v>
      </c>
      <c r="C248" s="42" t="s">
        <v>465</v>
      </c>
      <c r="D248" s="75">
        <v>259573806</v>
      </c>
      <c r="E248" s="76">
        <v>9193302808</v>
      </c>
      <c r="F248" s="42" t="s">
        <v>256</v>
      </c>
      <c r="G248" s="52">
        <v>34649</v>
      </c>
      <c r="H248" s="53" t="str">
        <f t="shared" si="6"/>
        <v>Nov</v>
      </c>
      <c r="I248" s="54">
        <f t="shared" ca="1" si="7"/>
        <v>21</v>
      </c>
      <c r="J248" s="55" t="s">
        <v>276</v>
      </c>
      <c r="K248" s="56">
        <v>72460</v>
      </c>
      <c r="L248" s="57">
        <v>4</v>
      </c>
      <c r="M248" s="58"/>
    </row>
    <row r="249" spans="1:13" x14ac:dyDescent="0.25">
      <c r="A249" s="42" t="s">
        <v>530</v>
      </c>
      <c r="B249" s="49" t="s">
        <v>285</v>
      </c>
      <c r="C249" s="42" t="s">
        <v>465</v>
      </c>
      <c r="D249" s="75">
        <v>920477476</v>
      </c>
      <c r="E249" s="76">
        <v>2523162442</v>
      </c>
      <c r="F249" s="42" t="s">
        <v>247</v>
      </c>
      <c r="G249" s="52">
        <v>36186</v>
      </c>
      <c r="H249" s="53" t="str">
        <f t="shared" si="6"/>
        <v>Jan</v>
      </c>
      <c r="I249" s="54">
        <f t="shared" ca="1" si="7"/>
        <v>17</v>
      </c>
      <c r="J249" s="55"/>
      <c r="K249" s="56">
        <v>29290</v>
      </c>
      <c r="L249" s="57">
        <v>3</v>
      </c>
      <c r="M249" s="58"/>
    </row>
    <row r="250" spans="1:13" x14ac:dyDescent="0.25">
      <c r="A250" s="42" t="s">
        <v>531</v>
      </c>
      <c r="B250" s="49" t="s">
        <v>285</v>
      </c>
      <c r="C250" s="42" t="s">
        <v>465</v>
      </c>
      <c r="D250" s="75">
        <v>276980518</v>
      </c>
      <c r="E250" s="76">
        <v>9195267252</v>
      </c>
      <c r="F250" s="42" t="s">
        <v>256</v>
      </c>
      <c r="G250" s="52">
        <v>39833</v>
      </c>
      <c r="H250" s="53" t="str">
        <f t="shared" si="6"/>
        <v>Jan</v>
      </c>
      <c r="I250" s="54">
        <f t="shared" ca="1" si="7"/>
        <v>7</v>
      </c>
      <c r="J250" s="55" t="s">
        <v>276</v>
      </c>
      <c r="K250" s="56">
        <v>35300</v>
      </c>
      <c r="L250" s="57">
        <v>5</v>
      </c>
      <c r="M250" s="58"/>
    </row>
    <row r="251" spans="1:13" x14ac:dyDescent="0.25">
      <c r="A251" s="42" t="s">
        <v>532</v>
      </c>
      <c r="B251" s="49" t="s">
        <v>280</v>
      </c>
      <c r="C251" s="42" t="s">
        <v>465</v>
      </c>
      <c r="D251" s="75">
        <v>725737456</v>
      </c>
      <c r="E251" s="76">
        <v>9191847141</v>
      </c>
      <c r="F251" s="42" t="s">
        <v>247</v>
      </c>
      <c r="G251" s="52">
        <v>39875</v>
      </c>
      <c r="H251" s="53" t="str">
        <f t="shared" si="6"/>
        <v>Mar</v>
      </c>
      <c r="I251" s="54">
        <f t="shared" ca="1" si="7"/>
        <v>7</v>
      </c>
      <c r="J251" s="55"/>
      <c r="K251" s="56">
        <v>71200</v>
      </c>
      <c r="L251" s="57">
        <v>4</v>
      </c>
      <c r="M251" s="58"/>
    </row>
    <row r="252" spans="1:13" x14ac:dyDescent="0.25">
      <c r="A252" s="42" t="s">
        <v>533</v>
      </c>
      <c r="B252" s="49" t="s">
        <v>280</v>
      </c>
      <c r="C252" s="42" t="s">
        <v>465</v>
      </c>
      <c r="D252" s="75">
        <v>350104448</v>
      </c>
      <c r="E252" s="76">
        <v>9193883356</v>
      </c>
      <c r="F252" s="42" t="s">
        <v>256</v>
      </c>
      <c r="G252" s="52">
        <v>36530</v>
      </c>
      <c r="H252" s="53" t="str">
        <f t="shared" si="6"/>
        <v>Jan</v>
      </c>
      <c r="I252" s="54">
        <f t="shared" ca="1" si="7"/>
        <v>16</v>
      </c>
      <c r="J252" s="55" t="s">
        <v>267</v>
      </c>
      <c r="K252" s="56">
        <v>53900</v>
      </c>
      <c r="L252" s="57">
        <v>1</v>
      </c>
      <c r="M252" s="58"/>
    </row>
    <row r="253" spans="1:13" x14ac:dyDescent="0.25">
      <c r="A253" s="42" t="s">
        <v>534</v>
      </c>
      <c r="B253" s="49" t="s">
        <v>285</v>
      </c>
      <c r="C253" s="42" t="s">
        <v>465</v>
      </c>
      <c r="D253" s="75">
        <v>130619578</v>
      </c>
      <c r="E253" s="76">
        <v>9195057530</v>
      </c>
      <c r="F253" s="42" t="s">
        <v>247</v>
      </c>
      <c r="G253" s="52">
        <v>37719</v>
      </c>
      <c r="H253" s="53" t="str">
        <f t="shared" si="6"/>
        <v>Apr</v>
      </c>
      <c r="I253" s="54">
        <f t="shared" ca="1" si="7"/>
        <v>13</v>
      </c>
      <c r="J253" s="55"/>
      <c r="K253" s="56">
        <v>107420</v>
      </c>
      <c r="L253" s="57">
        <v>5</v>
      </c>
      <c r="M253" s="58"/>
    </row>
    <row r="254" spans="1:13" x14ac:dyDescent="0.25">
      <c r="A254" s="42" t="s">
        <v>535</v>
      </c>
      <c r="B254" s="49" t="s">
        <v>245</v>
      </c>
      <c r="C254" s="42" t="s">
        <v>465</v>
      </c>
      <c r="D254" s="75">
        <v>353414196</v>
      </c>
      <c r="E254" s="76">
        <v>2528159919</v>
      </c>
      <c r="F254" s="42" t="s">
        <v>256</v>
      </c>
      <c r="G254" s="52">
        <v>37699</v>
      </c>
      <c r="H254" s="53" t="str">
        <f t="shared" si="6"/>
        <v>Mar</v>
      </c>
      <c r="I254" s="54">
        <f t="shared" ca="1" si="7"/>
        <v>13</v>
      </c>
      <c r="J254" s="55" t="s">
        <v>267</v>
      </c>
      <c r="K254" s="56">
        <v>28380</v>
      </c>
      <c r="L254" s="57">
        <v>1</v>
      </c>
      <c r="M254" s="58"/>
    </row>
    <row r="255" spans="1:13" x14ac:dyDescent="0.25">
      <c r="A255" s="42" t="s">
        <v>536</v>
      </c>
      <c r="B255" s="49" t="s">
        <v>271</v>
      </c>
      <c r="C255" s="42" t="s">
        <v>465</v>
      </c>
      <c r="D255" s="75">
        <v>506577536</v>
      </c>
      <c r="E255" s="76">
        <v>2524999647</v>
      </c>
      <c r="F255" s="42" t="s">
        <v>252</v>
      </c>
      <c r="G255" s="52">
        <v>37306</v>
      </c>
      <c r="H255" s="53" t="str">
        <f t="shared" si="6"/>
        <v>Feb</v>
      </c>
      <c r="I255" s="54">
        <f t="shared" ca="1" si="7"/>
        <v>14</v>
      </c>
      <c r="J255" s="55"/>
      <c r="K255" s="56">
        <v>11310</v>
      </c>
      <c r="L255" s="57">
        <v>4</v>
      </c>
      <c r="M255" s="58"/>
    </row>
    <row r="256" spans="1:13" x14ac:dyDescent="0.25">
      <c r="A256" s="42" t="s">
        <v>537</v>
      </c>
      <c r="B256" s="49" t="s">
        <v>271</v>
      </c>
      <c r="C256" s="42" t="s">
        <v>465</v>
      </c>
      <c r="D256" s="75">
        <v>280304785</v>
      </c>
      <c r="E256" s="76">
        <v>2525918708</v>
      </c>
      <c r="F256" s="42" t="s">
        <v>256</v>
      </c>
      <c r="G256" s="52">
        <v>36997</v>
      </c>
      <c r="H256" s="53" t="str">
        <f t="shared" si="6"/>
        <v>Apr</v>
      </c>
      <c r="I256" s="54">
        <f t="shared" ca="1" si="7"/>
        <v>15</v>
      </c>
      <c r="J256" s="55" t="s">
        <v>257</v>
      </c>
      <c r="K256" s="56">
        <v>48410</v>
      </c>
      <c r="L256" s="57">
        <v>2</v>
      </c>
      <c r="M256" s="58"/>
    </row>
    <row r="257" spans="1:13" x14ac:dyDescent="0.25">
      <c r="A257" s="42" t="s">
        <v>538</v>
      </c>
      <c r="B257" s="49" t="s">
        <v>280</v>
      </c>
      <c r="C257" s="42" t="s">
        <v>465</v>
      </c>
      <c r="D257" s="75">
        <v>466293520</v>
      </c>
      <c r="E257" s="76">
        <v>2524442142</v>
      </c>
      <c r="F257" s="42" t="s">
        <v>252</v>
      </c>
      <c r="G257" s="52">
        <v>34752</v>
      </c>
      <c r="H257" s="53" t="str">
        <f t="shared" si="6"/>
        <v>Feb</v>
      </c>
      <c r="I257" s="54">
        <f t="shared" ca="1" si="7"/>
        <v>21</v>
      </c>
      <c r="J257" s="55"/>
      <c r="K257" s="56">
        <v>26810</v>
      </c>
      <c r="L257" s="57">
        <v>4</v>
      </c>
      <c r="M257" s="58"/>
    </row>
    <row r="258" spans="1:13" x14ac:dyDescent="0.25">
      <c r="A258" s="42" t="s">
        <v>539</v>
      </c>
      <c r="B258" s="49" t="s">
        <v>266</v>
      </c>
      <c r="C258" s="42" t="s">
        <v>465</v>
      </c>
      <c r="D258" s="75">
        <v>858800513</v>
      </c>
      <c r="E258" s="76">
        <v>9193547588</v>
      </c>
      <c r="F258" s="42" t="s">
        <v>256</v>
      </c>
      <c r="G258" s="52">
        <v>40313</v>
      </c>
      <c r="H258" s="53" t="str">
        <f t="shared" ref="H258:H321" si="8">CHOOSE(MONTH(G258),"Jan","Feb","Mar","Apr","May","Jun","Jul","Aug","Sep","Oct","Nov","Dec")</f>
        <v>May</v>
      </c>
      <c r="I258" s="54">
        <f t="shared" ref="I258:I321" ca="1" si="9">DATEDIF(G258,TODAY(),"Y")</f>
        <v>6</v>
      </c>
      <c r="J258" s="55" t="s">
        <v>262</v>
      </c>
      <c r="K258" s="56">
        <v>85240</v>
      </c>
      <c r="L258" s="57">
        <v>3</v>
      </c>
      <c r="M258" s="58"/>
    </row>
    <row r="259" spans="1:13" x14ac:dyDescent="0.25">
      <c r="A259" s="42" t="s">
        <v>540</v>
      </c>
      <c r="B259" s="49" t="s">
        <v>285</v>
      </c>
      <c r="C259" s="42" t="s">
        <v>465</v>
      </c>
      <c r="D259" s="75">
        <v>635767088</v>
      </c>
      <c r="E259" s="76">
        <v>2522153322</v>
      </c>
      <c r="F259" s="42" t="s">
        <v>247</v>
      </c>
      <c r="G259" s="52">
        <v>37978</v>
      </c>
      <c r="H259" s="53" t="str">
        <f t="shared" si="8"/>
        <v>Dec</v>
      </c>
      <c r="I259" s="54">
        <f t="shared" ca="1" si="9"/>
        <v>12</v>
      </c>
      <c r="J259" s="55"/>
      <c r="K259" s="56">
        <v>82210</v>
      </c>
      <c r="L259" s="57">
        <v>5</v>
      </c>
      <c r="M259" s="58"/>
    </row>
    <row r="260" spans="1:13" x14ac:dyDescent="0.25">
      <c r="A260" s="42" t="s">
        <v>541</v>
      </c>
      <c r="B260" s="49" t="s">
        <v>271</v>
      </c>
      <c r="C260" s="42" t="s">
        <v>465</v>
      </c>
      <c r="D260" s="75">
        <v>512405919</v>
      </c>
      <c r="E260" s="76">
        <v>9195858234</v>
      </c>
      <c r="F260" s="42" t="s">
        <v>256</v>
      </c>
      <c r="G260" s="52">
        <v>38437</v>
      </c>
      <c r="H260" s="53" t="str">
        <f t="shared" si="8"/>
        <v>Mar</v>
      </c>
      <c r="I260" s="54">
        <f t="shared" ca="1" si="9"/>
        <v>11</v>
      </c>
      <c r="J260" s="55" t="s">
        <v>267</v>
      </c>
      <c r="K260" s="56">
        <v>76960</v>
      </c>
      <c r="L260" s="57">
        <v>1</v>
      </c>
      <c r="M260" s="58"/>
    </row>
    <row r="261" spans="1:13" x14ac:dyDescent="0.25">
      <c r="A261" s="42" t="s">
        <v>542</v>
      </c>
      <c r="B261" s="49" t="s">
        <v>271</v>
      </c>
      <c r="C261" s="42" t="s">
        <v>465</v>
      </c>
      <c r="D261" s="75">
        <v>616417564</v>
      </c>
      <c r="E261" s="76">
        <v>9191806180</v>
      </c>
      <c r="F261" s="42" t="s">
        <v>247</v>
      </c>
      <c r="G261" s="52">
        <v>36452</v>
      </c>
      <c r="H261" s="53" t="str">
        <f t="shared" si="8"/>
        <v>Oct</v>
      </c>
      <c r="I261" s="54">
        <f t="shared" ca="1" si="9"/>
        <v>17</v>
      </c>
      <c r="J261" s="55"/>
      <c r="K261" s="56">
        <v>50580</v>
      </c>
      <c r="L261" s="57">
        <v>5</v>
      </c>
      <c r="M261" s="58"/>
    </row>
    <row r="262" spans="1:13" x14ac:dyDescent="0.25">
      <c r="A262" s="42" t="s">
        <v>543</v>
      </c>
      <c r="B262" s="49" t="s">
        <v>251</v>
      </c>
      <c r="C262" s="42" t="s">
        <v>465</v>
      </c>
      <c r="D262" s="75">
        <v>624234626</v>
      </c>
      <c r="E262" s="76">
        <v>2523077504</v>
      </c>
      <c r="F262" s="42" t="s">
        <v>261</v>
      </c>
      <c r="G262" s="52">
        <v>36344</v>
      </c>
      <c r="H262" s="53" t="str">
        <f t="shared" si="8"/>
        <v>Jul</v>
      </c>
      <c r="I262" s="54">
        <f t="shared" ca="1" si="9"/>
        <v>17</v>
      </c>
      <c r="J262" s="55" t="s">
        <v>257</v>
      </c>
      <c r="K262" s="56">
        <v>55970</v>
      </c>
      <c r="L262" s="57">
        <v>5</v>
      </c>
      <c r="M262" s="58"/>
    </row>
    <row r="263" spans="1:13" x14ac:dyDescent="0.25">
      <c r="A263" s="42" t="s">
        <v>544</v>
      </c>
      <c r="B263" s="49" t="s">
        <v>245</v>
      </c>
      <c r="C263" s="42" t="s">
        <v>465</v>
      </c>
      <c r="D263" s="75">
        <v>361925033</v>
      </c>
      <c r="E263" s="76">
        <v>9196633751</v>
      </c>
      <c r="F263" s="42" t="s">
        <v>247</v>
      </c>
      <c r="G263" s="52">
        <v>39290</v>
      </c>
      <c r="H263" s="53" t="str">
        <f t="shared" si="8"/>
        <v>Jul</v>
      </c>
      <c r="I263" s="54">
        <f t="shared" ca="1" si="9"/>
        <v>9</v>
      </c>
      <c r="J263" s="55"/>
      <c r="K263" s="56">
        <v>86200</v>
      </c>
      <c r="L263" s="57">
        <v>3</v>
      </c>
      <c r="M263" s="58"/>
    </row>
    <row r="264" spans="1:13" x14ac:dyDescent="0.25">
      <c r="A264" s="42" t="s">
        <v>545</v>
      </c>
      <c r="B264" s="49" t="s">
        <v>285</v>
      </c>
      <c r="C264" s="42" t="s">
        <v>465</v>
      </c>
      <c r="D264" s="75">
        <v>251824309</v>
      </c>
      <c r="E264" s="76">
        <v>9197950668</v>
      </c>
      <c r="F264" s="42" t="s">
        <v>247</v>
      </c>
      <c r="G264" s="52">
        <v>37730</v>
      </c>
      <c r="H264" s="53" t="str">
        <f t="shared" si="8"/>
        <v>Apr</v>
      </c>
      <c r="I264" s="54">
        <f t="shared" ca="1" si="9"/>
        <v>13</v>
      </c>
      <c r="J264" s="55"/>
      <c r="K264" s="56">
        <v>54500</v>
      </c>
      <c r="L264" s="57">
        <v>1</v>
      </c>
      <c r="M264" s="58"/>
    </row>
    <row r="265" spans="1:13" x14ac:dyDescent="0.25">
      <c r="A265" s="42" t="s">
        <v>546</v>
      </c>
      <c r="B265" s="49" t="s">
        <v>285</v>
      </c>
      <c r="C265" s="42" t="s">
        <v>465</v>
      </c>
      <c r="D265" s="75">
        <v>243062914</v>
      </c>
      <c r="E265" s="76">
        <v>9194018412</v>
      </c>
      <c r="F265" s="42" t="s">
        <v>256</v>
      </c>
      <c r="G265" s="52">
        <v>36200</v>
      </c>
      <c r="H265" s="53" t="str">
        <f t="shared" si="8"/>
        <v>Feb</v>
      </c>
      <c r="I265" s="54">
        <f t="shared" ca="1" si="9"/>
        <v>17</v>
      </c>
      <c r="J265" s="55" t="s">
        <v>257</v>
      </c>
      <c r="K265" s="56">
        <v>88140</v>
      </c>
      <c r="L265" s="57">
        <v>3</v>
      </c>
      <c r="M265" s="58"/>
    </row>
    <row r="266" spans="1:13" x14ac:dyDescent="0.25">
      <c r="A266" s="42" t="s">
        <v>547</v>
      </c>
      <c r="B266" s="49" t="s">
        <v>285</v>
      </c>
      <c r="C266" s="42" t="s">
        <v>465</v>
      </c>
      <c r="D266" s="75">
        <v>798466688</v>
      </c>
      <c r="E266" s="76">
        <v>9192232339</v>
      </c>
      <c r="F266" s="42" t="s">
        <v>256</v>
      </c>
      <c r="G266" s="52">
        <v>41204</v>
      </c>
      <c r="H266" s="53" t="str">
        <f t="shared" si="8"/>
        <v>Oct</v>
      </c>
      <c r="I266" s="54">
        <f t="shared" ca="1" si="9"/>
        <v>4</v>
      </c>
      <c r="J266" s="55" t="s">
        <v>257</v>
      </c>
      <c r="K266" s="56">
        <v>42720</v>
      </c>
      <c r="L266" s="57">
        <v>5</v>
      </c>
      <c r="M266" s="58"/>
    </row>
    <row r="267" spans="1:13" x14ac:dyDescent="0.25">
      <c r="A267" s="42" t="s">
        <v>548</v>
      </c>
      <c r="B267" s="49" t="s">
        <v>271</v>
      </c>
      <c r="C267" s="42" t="s">
        <v>465</v>
      </c>
      <c r="D267" s="75">
        <v>219245495</v>
      </c>
      <c r="E267" s="76">
        <v>9198256039</v>
      </c>
      <c r="F267" s="42" t="s">
        <v>247</v>
      </c>
      <c r="G267" s="52">
        <v>35426</v>
      </c>
      <c r="H267" s="53" t="str">
        <f t="shared" si="8"/>
        <v>Dec</v>
      </c>
      <c r="I267" s="54">
        <f t="shared" ca="1" si="9"/>
        <v>19</v>
      </c>
      <c r="J267" s="55"/>
      <c r="K267" s="56">
        <v>75970</v>
      </c>
      <c r="L267" s="57">
        <v>3</v>
      </c>
      <c r="M267" s="58"/>
    </row>
    <row r="268" spans="1:13" x14ac:dyDescent="0.25">
      <c r="A268" s="42" t="s">
        <v>549</v>
      </c>
      <c r="B268" s="49" t="s">
        <v>285</v>
      </c>
      <c r="C268" s="42" t="s">
        <v>465</v>
      </c>
      <c r="D268" s="75">
        <v>914330398</v>
      </c>
      <c r="E268" s="76">
        <v>9193498222</v>
      </c>
      <c r="F268" s="42" t="s">
        <v>256</v>
      </c>
      <c r="G268" s="52">
        <v>39822</v>
      </c>
      <c r="H268" s="53" t="str">
        <f t="shared" si="8"/>
        <v>Jan</v>
      </c>
      <c r="I268" s="54">
        <f t="shared" ca="1" si="9"/>
        <v>7</v>
      </c>
      <c r="J268" s="55" t="s">
        <v>283</v>
      </c>
      <c r="K268" s="56">
        <v>78860</v>
      </c>
      <c r="L268" s="57">
        <v>1</v>
      </c>
      <c r="M268" s="58"/>
    </row>
    <row r="269" spans="1:13" x14ac:dyDescent="0.25">
      <c r="A269" s="42" t="s">
        <v>550</v>
      </c>
      <c r="B269" s="49" t="s">
        <v>266</v>
      </c>
      <c r="C269" s="42" t="s">
        <v>465</v>
      </c>
      <c r="D269" s="75">
        <v>523758324</v>
      </c>
      <c r="E269" s="76">
        <v>9191308831</v>
      </c>
      <c r="F269" s="42" t="s">
        <v>256</v>
      </c>
      <c r="G269" s="52">
        <v>36362</v>
      </c>
      <c r="H269" s="53" t="str">
        <f t="shared" si="8"/>
        <v>Jul</v>
      </c>
      <c r="I269" s="54">
        <f t="shared" ca="1" si="9"/>
        <v>17</v>
      </c>
      <c r="J269" s="55" t="s">
        <v>257</v>
      </c>
      <c r="K269" s="56">
        <v>71180</v>
      </c>
      <c r="L269" s="57">
        <v>4</v>
      </c>
      <c r="M269" s="58"/>
    </row>
    <row r="270" spans="1:13" x14ac:dyDescent="0.25">
      <c r="A270" s="42" t="s">
        <v>551</v>
      </c>
      <c r="B270" s="49" t="s">
        <v>280</v>
      </c>
      <c r="C270" s="42" t="s">
        <v>465</v>
      </c>
      <c r="D270" s="75">
        <v>366740174</v>
      </c>
      <c r="E270" s="76">
        <v>2521549933</v>
      </c>
      <c r="F270" s="42" t="s">
        <v>252</v>
      </c>
      <c r="G270" s="52">
        <v>35166</v>
      </c>
      <c r="H270" s="53" t="str">
        <f t="shared" si="8"/>
        <v>Apr</v>
      </c>
      <c r="I270" s="54">
        <f t="shared" ca="1" si="9"/>
        <v>20</v>
      </c>
      <c r="J270" s="55"/>
      <c r="K270" s="56">
        <v>36500</v>
      </c>
      <c r="L270" s="57">
        <v>1</v>
      </c>
      <c r="M270" s="58"/>
    </row>
    <row r="271" spans="1:13" x14ac:dyDescent="0.25">
      <c r="A271" s="42" t="s">
        <v>552</v>
      </c>
      <c r="B271" s="49" t="s">
        <v>285</v>
      </c>
      <c r="C271" s="42" t="s">
        <v>465</v>
      </c>
      <c r="D271" s="75">
        <v>559376297</v>
      </c>
      <c r="E271" s="76">
        <v>9194888110</v>
      </c>
      <c r="F271" s="42" t="s">
        <v>256</v>
      </c>
      <c r="G271" s="52">
        <v>37432</v>
      </c>
      <c r="H271" s="53" t="str">
        <f t="shared" si="8"/>
        <v>Jun</v>
      </c>
      <c r="I271" s="54">
        <f t="shared" ca="1" si="9"/>
        <v>14</v>
      </c>
      <c r="J271" s="55" t="s">
        <v>257</v>
      </c>
      <c r="K271" s="56">
        <v>42980</v>
      </c>
      <c r="L271" s="57">
        <v>2</v>
      </c>
      <c r="M271" s="58"/>
    </row>
    <row r="272" spans="1:13" x14ac:dyDescent="0.25">
      <c r="A272" s="42" t="s">
        <v>553</v>
      </c>
      <c r="B272" s="49" t="s">
        <v>245</v>
      </c>
      <c r="C272" s="42" t="s">
        <v>465</v>
      </c>
      <c r="D272" s="75">
        <v>772163640</v>
      </c>
      <c r="E272" s="76">
        <v>9192474315</v>
      </c>
      <c r="F272" s="42" t="s">
        <v>256</v>
      </c>
      <c r="G272" s="52">
        <v>37445</v>
      </c>
      <c r="H272" s="53" t="str">
        <f t="shared" si="8"/>
        <v>Jul</v>
      </c>
      <c r="I272" s="54">
        <f t="shared" ca="1" si="9"/>
        <v>14</v>
      </c>
      <c r="J272" s="55" t="s">
        <v>257</v>
      </c>
      <c r="K272" s="56">
        <v>80740</v>
      </c>
      <c r="L272" s="57">
        <v>3</v>
      </c>
      <c r="M272" s="58"/>
    </row>
    <row r="273" spans="1:13" x14ac:dyDescent="0.25">
      <c r="A273" s="42" t="s">
        <v>554</v>
      </c>
      <c r="B273" s="49" t="s">
        <v>245</v>
      </c>
      <c r="C273" s="42" t="s">
        <v>465</v>
      </c>
      <c r="D273" s="75">
        <v>416394493</v>
      </c>
      <c r="E273" s="76">
        <v>2525228252</v>
      </c>
      <c r="F273" s="42" t="s">
        <v>256</v>
      </c>
      <c r="G273" s="52">
        <v>36939</v>
      </c>
      <c r="H273" s="53" t="str">
        <f t="shared" si="8"/>
        <v>Feb</v>
      </c>
      <c r="I273" s="54">
        <f t="shared" ca="1" si="9"/>
        <v>15</v>
      </c>
      <c r="J273" s="55" t="s">
        <v>267</v>
      </c>
      <c r="K273" s="56">
        <v>66540</v>
      </c>
      <c r="L273" s="57">
        <v>5</v>
      </c>
      <c r="M273" s="58"/>
    </row>
    <row r="274" spans="1:13" x14ac:dyDescent="0.25">
      <c r="A274" s="42" t="s">
        <v>555</v>
      </c>
      <c r="B274" s="49" t="s">
        <v>285</v>
      </c>
      <c r="C274" s="42" t="s">
        <v>465</v>
      </c>
      <c r="D274" s="75">
        <v>565952209</v>
      </c>
      <c r="E274" s="76">
        <v>2522889972</v>
      </c>
      <c r="F274" s="42" t="s">
        <v>256</v>
      </c>
      <c r="G274" s="52">
        <v>35972</v>
      </c>
      <c r="H274" s="53" t="str">
        <f t="shared" si="8"/>
        <v>Jun</v>
      </c>
      <c r="I274" s="54">
        <f t="shared" ca="1" si="9"/>
        <v>18</v>
      </c>
      <c r="J274" s="55" t="s">
        <v>283</v>
      </c>
      <c r="K274" s="56">
        <v>80460</v>
      </c>
      <c r="L274" s="57">
        <v>4</v>
      </c>
      <c r="M274" s="58"/>
    </row>
    <row r="275" spans="1:13" x14ac:dyDescent="0.25">
      <c r="A275" s="42" t="s">
        <v>556</v>
      </c>
      <c r="B275" s="49" t="s">
        <v>271</v>
      </c>
      <c r="C275" s="42" t="s">
        <v>465</v>
      </c>
      <c r="D275" s="75">
        <v>569701716</v>
      </c>
      <c r="E275" s="76">
        <v>2527461285</v>
      </c>
      <c r="F275" s="42" t="s">
        <v>261</v>
      </c>
      <c r="G275" s="52">
        <v>37178</v>
      </c>
      <c r="H275" s="53" t="str">
        <f t="shared" si="8"/>
        <v>Oct</v>
      </c>
      <c r="I275" s="54">
        <f t="shared" ca="1" si="9"/>
        <v>15</v>
      </c>
      <c r="J275" s="55" t="s">
        <v>267</v>
      </c>
      <c r="K275" s="56">
        <v>26000</v>
      </c>
      <c r="L275" s="57">
        <v>2</v>
      </c>
      <c r="M275" s="58"/>
    </row>
    <row r="276" spans="1:13" x14ac:dyDescent="0.25">
      <c r="A276" s="42" t="s">
        <v>557</v>
      </c>
      <c r="B276" s="49" t="s">
        <v>285</v>
      </c>
      <c r="C276" s="42" t="s">
        <v>465</v>
      </c>
      <c r="D276" s="75">
        <v>114005397</v>
      </c>
      <c r="E276" s="76">
        <v>2524694617</v>
      </c>
      <c r="F276" s="42" t="s">
        <v>247</v>
      </c>
      <c r="G276" s="52">
        <v>40190</v>
      </c>
      <c r="H276" s="53" t="str">
        <f t="shared" si="8"/>
        <v>Jan</v>
      </c>
      <c r="I276" s="54">
        <f t="shared" ca="1" si="9"/>
        <v>6</v>
      </c>
      <c r="J276" s="55"/>
      <c r="K276" s="56">
        <v>76620</v>
      </c>
      <c r="L276" s="57">
        <v>2</v>
      </c>
      <c r="M276" s="58"/>
    </row>
    <row r="277" spans="1:13" x14ac:dyDescent="0.25">
      <c r="A277" s="42" t="s">
        <v>558</v>
      </c>
      <c r="B277" s="49" t="s">
        <v>280</v>
      </c>
      <c r="C277" s="42" t="s">
        <v>465</v>
      </c>
      <c r="D277" s="75">
        <v>312019803</v>
      </c>
      <c r="E277" s="76">
        <v>9197961953</v>
      </c>
      <c r="F277" s="42" t="s">
        <v>256</v>
      </c>
      <c r="G277" s="52">
        <v>38230</v>
      </c>
      <c r="H277" s="53" t="str">
        <f t="shared" si="8"/>
        <v>Aug</v>
      </c>
      <c r="I277" s="54">
        <f t="shared" ca="1" si="9"/>
        <v>12</v>
      </c>
      <c r="J277" s="55" t="s">
        <v>283</v>
      </c>
      <c r="K277" s="56">
        <v>30370</v>
      </c>
      <c r="L277" s="57">
        <v>4</v>
      </c>
      <c r="M277" s="58"/>
    </row>
    <row r="278" spans="1:13" x14ac:dyDescent="0.25">
      <c r="A278" s="42" t="s">
        <v>559</v>
      </c>
      <c r="B278" s="49" t="s">
        <v>245</v>
      </c>
      <c r="C278" s="42" t="s">
        <v>465</v>
      </c>
      <c r="D278" s="75">
        <v>661850671</v>
      </c>
      <c r="E278" s="76">
        <v>2528405900</v>
      </c>
      <c r="F278" s="42" t="s">
        <v>252</v>
      </c>
      <c r="G278" s="52">
        <v>36830</v>
      </c>
      <c r="H278" s="53" t="str">
        <f t="shared" si="8"/>
        <v>Oct</v>
      </c>
      <c r="I278" s="54">
        <f t="shared" ca="1" si="9"/>
        <v>16</v>
      </c>
      <c r="J278" s="55"/>
      <c r="K278" s="56">
        <v>35010</v>
      </c>
      <c r="L278" s="57">
        <v>3</v>
      </c>
      <c r="M278" s="58"/>
    </row>
    <row r="279" spans="1:13" x14ac:dyDescent="0.25">
      <c r="A279" s="42" t="s">
        <v>560</v>
      </c>
      <c r="B279" s="49" t="s">
        <v>245</v>
      </c>
      <c r="C279" s="42" t="s">
        <v>465</v>
      </c>
      <c r="D279" s="75">
        <v>427260216</v>
      </c>
      <c r="E279" s="76">
        <v>9198999194</v>
      </c>
      <c r="F279" s="42" t="s">
        <v>261</v>
      </c>
      <c r="G279" s="52">
        <v>35164</v>
      </c>
      <c r="H279" s="53" t="str">
        <f t="shared" si="8"/>
        <v>Apr</v>
      </c>
      <c r="I279" s="54">
        <f t="shared" ca="1" si="9"/>
        <v>20</v>
      </c>
      <c r="J279" s="55" t="s">
        <v>262</v>
      </c>
      <c r="K279" s="56">
        <v>22670</v>
      </c>
      <c r="L279" s="57">
        <v>4</v>
      </c>
      <c r="M279" s="58"/>
    </row>
    <row r="280" spans="1:13" x14ac:dyDescent="0.25">
      <c r="A280" s="42" t="s">
        <v>561</v>
      </c>
      <c r="B280" s="49" t="s">
        <v>271</v>
      </c>
      <c r="C280" s="42" t="s">
        <v>465</v>
      </c>
      <c r="D280" s="75">
        <v>910964196</v>
      </c>
      <c r="E280" s="76">
        <v>9194361873</v>
      </c>
      <c r="F280" s="42" t="s">
        <v>247</v>
      </c>
      <c r="G280" s="52">
        <v>34820</v>
      </c>
      <c r="H280" s="53" t="str">
        <f t="shared" si="8"/>
        <v>May</v>
      </c>
      <c r="I280" s="54">
        <f t="shared" ca="1" si="9"/>
        <v>21</v>
      </c>
      <c r="J280" s="55"/>
      <c r="K280" s="56">
        <v>59440</v>
      </c>
      <c r="L280" s="57">
        <v>2</v>
      </c>
      <c r="M280" s="58"/>
    </row>
    <row r="281" spans="1:13" x14ac:dyDescent="0.25">
      <c r="A281" s="42" t="s">
        <v>562</v>
      </c>
      <c r="B281" s="49" t="s">
        <v>285</v>
      </c>
      <c r="C281" s="42" t="s">
        <v>465</v>
      </c>
      <c r="D281" s="75">
        <v>110547055</v>
      </c>
      <c r="E281" s="76">
        <v>2526966637</v>
      </c>
      <c r="F281" s="42" t="s">
        <v>261</v>
      </c>
      <c r="G281" s="52">
        <v>37361</v>
      </c>
      <c r="H281" s="53" t="str">
        <f t="shared" si="8"/>
        <v>Apr</v>
      </c>
      <c r="I281" s="54">
        <f t="shared" ca="1" si="9"/>
        <v>14</v>
      </c>
      <c r="J281" s="55" t="s">
        <v>283</v>
      </c>
      <c r="K281" s="56">
        <v>13280</v>
      </c>
      <c r="L281" s="57">
        <v>1</v>
      </c>
      <c r="M281" s="58"/>
    </row>
    <row r="282" spans="1:13" x14ac:dyDescent="0.25">
      <c r="A282" s="42" t="s">
        <v>563</v>
      </c>
      <c r="B282" s="49" t="s">
        <v>271</v>
      </c>
      <c r="C282" s="42" t="s">
        <v>465</v>
      </c>
      <c r="D282" s="75">
        <v>995858336</v>
      </c>
      <c r="E282" s="76">
        <v>2525035104</v>
      </c>
      <c r="F282" s="42" t="s">
        <v>247</v>
      </c>
      <c r="G282" s="52">
        <v>41471</v>
      </c>
      <c r="H282" s="53" t="str">
        <f t="shared" si="8"/>
        <v>Jul</v>
      </c>
      <c r="I282" s="54">
        <f t="shared" ca="1" si="9"/>
        <v>3</v>
      </c>
      <c r="J282" s="55"/>
      <c r="K282" s="56">
        <v>45410</v>
      </c>
      <c r="L282" s="57">
        <v>1</v>
      </c>
      <c r="M282" s="58"/>
    </row>
    <row r="283" spans="1:13" x14ac:dyDescent="0.25">
      <c r="A283" s="42" t="s">
        <v>564</v>
      </c>
      <c r="B283" s="49" t="s">
        <v>271</v>
      </c>
      <c r="C283" s="42" t="s">
        <v>465</v>
      </c>
      <c r="D283" s="75">
        <v>930314379</v>
      </c>
      <c r="E283" s="76">
        <v>2524854867</v>
      </c>
      <c r="F283" s="42" t="s">
        <v>256</v>
      </c>
      <c r="G283" s="52">
        <v>40391</v>
      </c>
      <c r="H283" s="53" t="str">
        <f t="shared" si="8"/>
        <v>Aug</v>
      </c>
      <c r="I283" s="54">
        <f t="shared" ca="1" si="9"/>
        <v>6</v>
      </c>
      <c r="J283" s="55" t="s">
        <v>267</v>
      </c>
      <c r="K283" s="56">
        <v>85790</v>
      </c>
      <c r="L283" s="57">
        <v>5</v>
      </c>
      <c r="M283" s="58"/>
    </row>
    <row r="284" spans="1:13" x14ac:dyDescent="0.25">
      <c r="A284" s="42" t="s">
        <v>565</v>
      </c>
      <c r="B284" s="49" t="s">
        <v>245</v>
      </c>
      <c r="C284" s="42" t="s">
        <v>465</v>
      </c>
      <c r="D284" s="75">
        <v>138607245</v>
      </c>
      <c r="E284" s="76">
        <v>2522140101</v>
      </c>
      <c r="F284" s="42" t="s">
        <v>247</v>
      </c>
      <c r="G284" s="52">
        <v>35054</v>
      </c>
      <c r="H284" s="53" t="str">
        <f t="shared" si="8"/>
        <v>Dec</v>
      </c>
      <c r="I284" s="54">
        <f t="shared" ca="1" si="9"/>
        <v>20</v>
      </c>
      <c r="J284" s="55"/>
      <c r="K284" s="56">
        <v>95060</v>
      </c>
      <c r="L284" s="57">
        <v>4</v>
      </c>
      <c r="M284" s="58"/>
    </row>
    <row r="285" spans="1:13" x14ac:dyDescent="0.25">
      <c r="A285" s="42" t="s">
        <v>566</v>
      </c>
      <c r="B285" s="49" t="s">
        <v>271</v>
      </c>
      <c r="C285" s="42" t="s">
        <v>465</v>
      </c>
      <c r="D285" s="75">
        <v>853268713</v>
      </c>
      <c r="E285" s="76">
        <v>9192712826</v>
      </c>
      <c r="F285" s="42" t="s">
        <v>256</v>
      </c>
      <c r="G285" s="52">
        <v>36590</v>
      </c>
      <c r="H285" s="53" t="str">
        <f t="shared" si="8"/>
        <v>Mar</v>
      </c>
      <c r="I285" s="54">
        <f t="shared" ca="1" si="9"/>
        <v>16</v>
      </c>
      <c r="J285" s="55" t="s">
        <v>257</v>
      </c>
      <c r="K285" s="56">
        <v>72340</v>
      </c>
      <c r="L285" s="57">
        <v>1</v>
      </c>
      <c r="M285" s="58"/>
    </row>
    <row r="286" spans="1:13" x14ac:dyDescent="0.25">
      <c r="A286" s="42" t="s">
        <v>567</v>
      </c>
      <c r="B286" s="49" t="s">
        <v>280</v>
      </c>
      <c r="C286" s="42" t="s">
        <v>465</v>
      </c>
      <c r="D286" s="75">
        <v>596008829</v>
      </c>
      <c r="E286" s="76">
        <v>9198721709</v>
      </c>
      <c r="F286" s="42" t="s">
        <v>247</v>
      </c>
      <c r="G286" s="52">
        <v>37012</v>
      </c>
      <c r="H286" s="53" t="str">
        <f t="shared" si="8"/>
        <v>May</v>
      </c>
      <c r="I286" s="54">
        <f t="shared" ca="1" si="9"/>
        <v>15</v>
      </c>
      <c r="J286" s="55"/>
      <c r="K286" s="56">
        <v>54060</v>
      </c>
      <c r="L286" s="57">
        <v>1</v>
      </c>
      <c r="M286" s="58"/>
    </row>
    <row r="287" spans="1:13" x14ac:dyDescent="0.25">
      <c r="A287" s="42" t="s">
        <v>568</v>
      </c>
      <c r="B287" s="49" t="s">
        <v>271</v>
      </c>
      <c r="C287" s="42" t="s">
        <v>465</v>
      </c>
      <c r="D287" s="75">
        <v>462995574</v>
      </c>
      <c r="E287" s="76">
        <v>2523431009</v>
      </c>
      <c r="F287" s="42" t="s">
        <v>256</v>
      </c>
      <c r="G287" s="52">
        <v>37102</v>
      </c>
      <c r="H287" s="53" t="str">
        <f t="shared" si="8"/>
        <v>Jul</v>
      </c>
      <c r="I287" s="54">
        <f t="shared" ca="1" si="9"/>
        <v>15</v>
      </c>
      <c r="J287" s="55" t="s">
        <v>257</v>
      </c>
      <c r="K287" s="56">
        <v>105890</v>
      </c>
      <c r="L287" s="57">
        <v>5</v>
      </c>
      <c r="M287" s="58"/>
    </row>
    <row r="288" spans="1:13" x14ac:dyDescent="0.25">
      <c r="A288" s="42" t="s">
        <v>569</v>
      </c>
      <c r="B288" s="49" t="s">
        <v>271</v>
      </c>
      <c r="C288" s="42" t="s">
        <v>465</v>
      </c>
      <c r="D288" s="75">
        <v>914326052</v>
      </c>
      <c r="E288" s="76">
        <v>2524249228</v>
      </c>
      <c r="F288" s="42" t="s">
        <v>256</v>
      </c>
      <c r="G288" s="52">
        <v>37536</v>
      </c>
      <c r="H288" s="53" t="str">
        <f t="shared" si="8"/>
        <v>Oct</v>
      </c>
      <c r="I288" s="54">
        <f t="shared" ca="1" si="9"/>
        <v>14</v>
      </c>
      <c r="J288" s="55" t="s">
        <v>257</v>
      </c>
      <c r="K288" s="56">
        <v>91430</v>
      </c>
      <c r="L288" s="57">
        <v>4</v>
      </c>
      <c r="M288" s="58"/>
    </row>
    <row r="289" spans="1:13" x14ac:dyDescent="0.25">
      <c r="A289" s="42" t="s">
        <v>570</v>
      </c>
      <c r="B289" s="49" t="s">
        <v>271</v>
      </c>
      <c r="C289" s="42" t="s">
        <v>465</v>
      </c>
      <c r="D289" s="75">
        <v>687006783</v>
      </c>
      <c r="E289" s="76">
        <v>2524919418</v>
      </c>
      <c r="F289" s="42" t="s">
        <v>247</v>
      </c>
      <c r="G289" s="52">
        <v>36380</v>
      </c>
      <c r="H289" s="53" t="str">
        <f t="shared" si="8"/>
        <v>Aug</v>
      </c>
      <c r="I289" s="54">
        <f t="shared" ca="1" si="9"/>
        <v>17</v>
      </c>
      <c r="J289" s="55"/>
      <c r="K289" s="56">
        <v>79210</v>
      </c>
      <c r="L289" s="57">
        <v>2</v>
      </c>
      <c r="M289" s="58"/>
    </row>
    <row r="290" spans="1:13" x14ac:dyDescent="0.25">
      <c r="A290" s="42" t="s">
        <v>571</v>
      </c>
      <c r="B290" s="49" t="s">
        <v>285</v>
      </c>
      <c r="C290" s="42" t="s">
        <v>465</v>
      </c>
      <c r="D290" s="75">
        <v>594680949</v>
      </c>
      <c r="E290" s="76">
        <v>9192375580</v>
      </c>
      <c r="F290" s="42" t="s">
        <v>261</v>
      </c>
      <c r="G290" s="52">
        <v>37423</v>
      </c>
      <c r="H290" s="53" t="str">
        <f t="shared" si="8"/>
        <v>Jun</v>
      </c>
      <c r="I290" s="54">
        <f t="shared" ca="1" si="9"/>
        <v>14</v>
      </c>
      <c r="J290" s="55" t="s">
        <v>283</v>
      </c>
      <c r="K290" s="56">
        <v>20720</v>
      </c>
      <c r="L290" s="57">
        <v>5</v>
      </c>
      <c r="M290" s="58"/>
    </row>
    <row r="291" spans="1:13" x14ac:dyDescent="0.25">
      <c r="A291" s="42" t="s">
        <v>572</v>
      </c>
      <c r="B291" s="49" t="s">
        <v>266</v>
      </c>
      <c r="C291" s="42" t="s">
        <v>465</v>
      </c>
      <c r="D291" s="75">
        <v>596641549</v>
      </c>
      <c r="E291" s="76">
        <v>9196194175</v>
      </c>
      <c r="F291" s="42" t="s">
        <v>247</v>
      </c>
      <c r="G291" s="52">
        <v>37351</v>
      </c>
      <c r="H291" s="53" t="str">
        <f t="shared" si="8"/>
        <v>Apr</v>
      </c>
      <c r="I291" s="54">
        <f t="shared" ca="1" si="9"/>
        <v>14</v>
      </c>
      <c r="J291" s="55"/>
      <c r="K291" s="56">
        <v>32860</v>
      </c>
      <c r="L291" s="57">
        <v>3</v>
      </c>
      <c r="M291" s="58"/>
    </row>
    <row r="292" spans="1:13" x14ac:dyDescent="0.25">
      <c r="A292" s="42" t="s">
        <v>573</v>
      </c>
      <c r="B292" s="49" t="s">
        <v>280</v>
      </c>
      <c r="C292" s="42" t="s">
        <v>465</v>
      </c>
      <c r="D292" s="75">
        <v>993383806</v>
      </c>
      <c r="E292" s="76">
        <v>2521810581</v>
      </c>
      <c r="F292" s="42" t="s">
        <v>252</v>
      </c>
      <c r="G292" s="52">
        <v>37068</v>
      </c>
      <c r="H292" s="53" t="str">
        <f t="shared" si="8"/>
        <v>Jun</v>
      </c>
      <c r="I292" s="54">
        <f t="shared" ca="1" si="9"/>
        <v>15</v>
      </c>
      <c r="J292" s="55"/>
      <c r="K292" s="56">
        <v>45130</v>
      </c>
      <c r="L292" s="57">
        <v>4</v>
      </c>
      <c r="M292" s="58"/>
    </row>
    <row r="293" spans="1:13" x14ac:dyDescent="0.25">
      <c r="A293" s="42" t="s">
        <v>574</v>
      </c>
      <c r="B293" s="49" t="s">
        <v>271</v>
      </c>
      <c r="C293" s="42" t="s">
        <v>465</v>
      </c>
      <c r="D293" s="75">
        <v>829216164</v>
      </c>
      <c r="E293" s="76">
        <v>2524982487</v>
      </c>
      <c r="F293" s="42" t="s">
        <v>247</v>
      </c>
      <c r="G293" s="52">
        <v>40546</v>
      </c>
      <c r="H293" s="53" t="str">
        <f t="shared" si="8"/>
        <v>Jan</v>
      </c>
      <c r="I293" s="54">
        <f t="shared" ca="1" si="9"/>
        <v>5</v>
      </c>
      <c r="J293" s="55"/>
      <c r="K293" s="56">
        <v>101000</v>
      </c>
      <c r="L293" s="57">
        <v>2</v>
      </c>
      <c r="M293" s="58"/>
    </row>
    <row r="294" spans="1:13" x14ac:dyDescent="0.25">
      <c r="A294" s="42" t="s">
        <v>575</v>
      </c>
      <c r="B294" s="49" t="s">
        <v>271</v>
      </c>
      <c r="C294" s="42" t="s">
        <v>465</v>
      </c>
      <c r="D294" s="75">
        <v>371001908</v>
      </c>
      <c r="E294" s="76">
        <v>2527061632</v>
      </c>
      <c r="F294" s="42" t="s">
        <v>256</v>
      </c>
      <c r="G294" s="52">
        <v>36357</v>
      </c>
      <c r="H294" s="53" t="str">
        <f t="shared" si="8"/>
        <v>Jul</v>
      </c>
      <c r="I294" s="54">
        <f t="shared" ca="1" si="9"/>
        <v>17</v>
      </c>
      <c r="J294" s="55" t="s">
        <v>262</v>
      </c>
      <c r="K294" s="56">
        <v>54580</v>
      </c>
      <c r="L294" s="57">
        <v>4</v>
      </c>
      <c r="M294" s="58"/>
    </row>
    <row r="295" spans="1:13" x14ac:dyDescent="0.25">
      <c r="A295" s="42" t="s">
        <v>576</v>
      </c>
      <c r="B295" s="49" t="s">
        <v>280</v>
      </c>
      <c r="C295" s="42" t="s">
        <v>465</v>
      </c>
      <c r="D295" s="75">
        <v>180095803</v>
      </c>
      <c r="E295" s="76">
        <v>2526503334</v>
      </c>
      <c r="F295" s="42" t="s">
        <v>256</v>
      </c>
      <c r="G295" s="52">
        <v>40973</v>
      </c>
      <c r="H295" s="53" t="str">
        <f t="shared" si="8"/>
        <v>Mar</v>
      </c>
      <c r="I295" s="54">
        <f t="shared" ca="1" si="9"/>
        <v>4</v>
      </c>
      <c r="J295" s="55" t="s">
        <v>257</v>
      </c>
      <c r="K295" s="56">
        <v>93800</v>
      </c>
      <c r="L295" s="57">
        <v>5</v>
      </c>
      <c r="M295" s="58"/>
    </row>
    <row r="296" spans="1:13" x14ac:dyDescent="0.25">
      <c r="A296" s="42" t="s">
        <v>577</v>
      </c>
      <c r="B296" s="49" t="s">
        <v>271</v>
      </c>
      <c r="C296" s="42" t="s">
        <v>465</v>
      </c>
      <c r="D296" s="75">
        <v>820244290</v>
      </c>
      <c r="E296" s="76">
        <v>9194944596</v>
      </c>
      <c r="F296" s="42" t="s">
        <v>247</v>
      </c>
      <c r="G296" s="52">
        <v>34980</v>
      </c>
      <c r="H296" s="53" t="str">
        <f t="shared" si="8"/>
        <v>Oct</v>
      </c>
      <c r="I296" s="54">
        <f t="shared" ca="1" si="9"/>
        <v>21</v>
      </c>
      <c r="J296" s="55"/>
      <c r="K296" s="56">
        <v>88790</v>
      </c>
      <c r="L296" s="57">
        <v>3</v>
      </c>
      <c r="M296" s="58"/>
    </row>
    <row r="297" spans="1:13" x14ac:dyDescent="0.25">
      <c r="A297" s="42" t="s">
        <v>578</v>
      </c>
      <c r="B297" s="49" t="s">
        <v>280</v>
      </c>
      <c r="C297" s="42" t="s">
        <v>465</v>
      </c>
      <c r="D297" s="75">
        <v>969216994</v>
      </c>
      <c r="E297" s="76">
        <v>2528973095</v>
      </c>
      <c r="F297" s="42" t="s">
        <v>247</v>
      </c>
      <c r="G297" s="52">
        <v>37284</v>
      </c>
      <c r="H297" s="53" t="str">
        <f t="shared" si="8"/>
        <v>Jan</v>
      </c>
      <c r="I297" s="54">
        <f t="shared" ca="1" si="9"/>
        <v>14</v>
      </c>
      <c r="J297" s="55"/>
      <c r="K297" s="56">
        <v>30160</v>
      </c>
      <c r="L297" s="57">
        <v>5</v>
      </c>
      <c r="M297" s="58"/>
    </row>
    <row r="298" spans="1:13" x14ac:dyDescent="0.25">
      <c r="A298" s="42" t="s">
        <v>579</v>
      </c>
      <c r="B298" s="49" t="s">
        <v>285</v>
      </c>
      <c r="C298" s="42" t="s">
        <v>465</v>
      </c>
      <c r="D298" s="75">
        <v>930282755</v>
      </c>
      <c r="E298" s="76">
        <v>9192380636</v>
      </c>
      <c r="F298" s="42" t="s">
        <v>261</v>
      </c>
      <c r="G298" s="52">
        <v>36190</v>
      </c>
      <c r="H298" s="53" t="str">
        <f t="shared" si="8"/>
        <v>Jan</v>
      </c>
      <c r="I298" s="54">
        <f t="shared" ca="1" si="9"/>
        <v>17</v>
      </c>
      <c r="J298" s="55" t="s">
        <v>257</v>
      </c>
      <c r="K298" s="56">
        <v>55540</v>
      </c>
      <c r="L298" s="57">
        <v>5</v>
      </c>
      <c r="M298" s="58"/>
    </row>
    <row r="299" spans="1:13" x14ac:dyDescent="0.25">
      <c r="A299" s="42" t="s">
        <v>580</v>
      </c>
      <c r="B299" s="49" t="s">
        <v>245</v>
      </c>
      <c r="C299" s="42" t="s">
        <v>465</v>
      </c>
      <c r="D299" s="75">
        <v>136620388</v>
      </c>
      <c r="E299" s="76">
        <v>9195119214</v>
      </c>
      <c r="F299" s="42" t="s">
        <v>256</v>
      </c>
      <c r="G299" s="52">
        <v>36715</v>
      </c>
      <c r="H299" s="53" t="str">
        <f t="shared" si="8"/>
        <v>Jul</v>
      </c>
      <c r="I299" s="54">
        <f t="shared" ca="1" si="9"/>
        <v>16</v>
      </c>
      <c r="J299" s="55" t="s">
        <v>262</v>
      </c>
      <c r="K299" s="56">
        <v>84020</v>
      </c>
      <c r="L299" s="57">
        <v>3</v>
      </c>
      <c r="M299" s="58"/>
    </row>
    <row r="300" spans="1:13" x14ac:dyDescent="0.25">
      <c r="A300" s="42" t="s">
        <v>581</v>
      </c>
      <c r="B300" s="49" t="s">
        <v>266</v>
      </c>
      <c r="C300" s="42" t="s">
        <v>465</v>
      </c>
      <c r="D300" s="75">
        <v>425634540</v>
      </c>
      <c r="E300" s="76">
        <v>9196969994</v>
      </c>
      <c r="F300" s="42" t="s">
        <v>256</v>
      </c>
      <c r="G300" s="52">
        <v>41176</v>
      </c>
      <c r="H300" s="53" t="str">
        <f t="shared" si="8"/>
        <v>Sep</v>
      </c>
      <c r="I300" s="54">
        <f t="shared" ca="1" si="9"/>
        <v>4</v>
      </c>
      <c r="J300" s="55" t="s">
        <v>267</v>
      </c>
      <c r="K300" s="56">
        <v>41630</v>
      </c>
      <c r="L300" s="57">
        <v>2</v>
      </c>
      <c r="M300" s="58"/>
    </row>
    <row r="301" spans="1:13" x14ac:dyDescent="0.25">
      <c r="A301" s="42" t="s">
        <v>582</v>
      </c>
      <c r="B301" s="49" t="s">
        <v>251</v>
      </c>
      <c r="C301" s="42" t="s">
        <v>465</v>
      </c>
      <c r="D301" s="75">
        <v>944793994</v>
      </c>
      <c r="E301" s="76">
        <v>2525725646</v>
      </c>
      <c r="F301" s="42" t="s">
        <v>256</v>
      </c>
      <c r="G301" s="52">
        <v>35786</v>
      </c>
      <c r="H301" s="53" t="str">
        <f t="shared" si="8"/>
        <v>Dec</v>
      </c>
      <c r="I301" s="54">
        <f t="shared" ca="1" si="9"/>
        <v>18</v>
      </c>
      <c r="J301" s="55" t="s">
        <v>257</v>
      </c>
      <c r="K301" s="56">
        <v>29160</v>
      </c>
      <c r="L301" s="57">
        <v>3</v>
      </c>
      <c r="M301" s="58"/>
    </row>
    <row r="302" spans="1:13" x14ac:dyDescent="0.25">
      <c r="A302" s="42" t="s">
        <v>583</v>
      </c>
      <c r="B302" s="49" t="s">
        <v>285</v>
      </c>
      <c r="C302" s="42" t="s">
        <v>465</v>
      </c>
      <c r="D302" s="75">
        <v>249929042</v>
      </c>
      <c r="E302" s="76">
        <v>2525790872</v>
      </c>
      <c r="F302" s="42" t="s">
        <v>256</v>
      </c>
      <c r="G302" s="52">
        <v>39665</v>
      </c>
      <c r="H302" s="53" t="str">
        <f t="shared" si="8"/>
        <v>Aug</v>
      </c>
      <c r="I302" s="54">
        <f t="shared" ca="1" si="9"/>
        <v>8</v>
      </c>
      <c r="J302" s="55" t="s">
        <v>257</v>
      </c>
      <c r="K302" s="56">
        <v>73270</v>
      </c>
      <c r="L302" s="57">
        <v>5</v>
      </c>
      <c r="M302" s="58"/>
    </row>
    <row r="303" spans="1:13" x14ac:dyDescent="0.25">
      <c r="A303" s="42" t="s">
        <v>584</v>
      </c>
      <c r="B303" s="49" t="s">
        <v>251</v>
      </c>
      <c r="C303" s="42" t="s">
        <v>465</v>
      </c>
      <c r="D303" s="75">
        <v>783624212</v>
      </c>
      <c r="E303" s="76">
        <v>9193164024</v>
      </c>
      <c r="F303" s="42" t="s">
        <v>261</v>
      </c>
      <c r="G303" s="52">
        <v>35584</v>
      </c>
      <c r="H303" s="53" t="str">
        <f t="shared" si="8"/>
        <v>Jun</v>
      </c>
      <c r="I303" s="54">
        <f t="shared" ca="1" si="9"/>
        <v>19</v>
      </c>
      <c r="J303" s="55" t="s">
        <v>262</v>
      </c>
      <c r="K303" s="56">
        <v>18310</v>
      </c>
      <c r="L303" s="57">
        <v>2</v>
      </c>
      <c r="M303" s="58"/>
    </row>
    <row r="304" spans="1:13" x14ac:dyDescent="0.25">
      <c r="A304" s="42" t="s">
        <v>585</v>
      </c>
      <c r="B304" s="49" t="s">
        <v>285</v>
      </c>
      <c r="C304" s="42" t="s">
        <v>465</v>
      </c>
      <c r="D304" s="75">
        <v>291715078</v>
      </c>
      <c r="E304" s="76">
        <v>9197662359</v>
      </c>
      <c r="F304" s="42" t="s">
        <v>256</v>
      </c>
      <c r="G304" s="52">
        <v>34614</v>
      </c>
      <c r="H304" s="53" t="str">
        <f t="shared" si="8"/>
        <v>Oct</v>
      </c>
      <c r="I304" s="54">
        <f t="shared" ca="1" si="9"/>
        <v>22</v>
      </c>
      <c r="J304" s="55" t="s">
        <v>586</v>
      </c>
      <c r="K304" s="56">
        <v>68280</v>
      </c>
      <c r="L304" s="57">
        <v>5</v>
      </c>
      <c r="M304" s="58"/>
    </row>
    <row r="305" spans="1:13" x14ac:dyDescent="0.25">
      <c r="A305" s="42" t="s">
        <v>587</v>
      </c>
      <c r="B305" s="49" t="s">
        <v>285</v>
      </c>
      <c r="C305" s="42" t="s">
        <v>465</v>
      </c>
      <c r="D305" s="75">
        <v>378281658</v>
      </c>
      <c r="E305" s="76">
        <v>9196705508</v>
      </c>
      <c r="F305" s="42" t="s">
        <v>247</v>
      </c>
      <c r="G305" s="52">
        <v>39074</v>
      </c>
      <c r="H305" s="53" t="str">
        <f t="shared" si="8"/>
        <v>Dec</v>
      </c>
      <c r="I305" s="54">
        <f t="shared" ca="1" si="9"/>
        <v>9</v>
      </c>
      <c r="J305" s="55"/>
      <c r="K305" s="56">
        <v>47160</v>
      </c>
      <c r="L305" s="57">
        <v>2</v>
      </c>
      <c r="M305" s="58"/>
    </row>
    <row r="306" spans="1:13" x14ac:dyDescent="0.25">
      <c r="A306" s="42" t="s">
        <v>588</v>
      </c>
      <c r="B306" s="49" t="s">
        <v>285</v>
      </c>
      <c r="C306" s="42" t="s">
        <v>465</v>
      </c>
      <c r="D306" s="75">
        <v>948480407</v>
      </c>
      <c r="E306" s="76">
        <v>9191449596</v>
      </c>
      <c r="F306" s="42" t="s">
        <v>247</v>
      </c>
      <c r="G306" s="52">
        <v>38635</v>
      </c>
      <c r="H306" s="53" t="str">
        <f t="shared" si="8"/>
        <v>Oct</v>
      </c>
      <c r="I306" s="54">
        <f t="shared" ca="1" si="9"/>
        <v>11</v>
      </c>
      <c r="J306" s="55"/>
      <c r="K306" s="56">
        <v>73640</v>
      </c>
      <c r="L306" s="57">
        <v>3</v>
      </c>
      <c r="M306" s="58"/>
    </row>
    <row r="307" spans="1:13" x14ac:dyDescent="0.25">
      <c r="A307" s="42" t="s">
        <v>589</v>
      </c>
      <c r="B307" s="49" t="s">
        <v>245</v>
      </c>
      <c r="C307" s="42" t="s">
        <v>465</v>
      </c>
      <c r="D307" s="75">
        <v>159117255</v>
      </c>
      <c r="E307" s="76">
        <v>9198426889</v>
      </c>
      <c r="F307" s="42" t="s">
        <v>247</v>
      </c>
      <c r="G307" s="52">
        <v>40831</v>
      </c>
      <c r="H307" s="53" t="str">
        <f t="shared" si="8"/>
        <v>Oct</v>
      </c>
      <c r="I307" s="54">
        <f t="shared" ca="1" si="9"/>
        <v>5</v>
      </c>
      <c r="J307" s="55"/>
      <c r="K307" s="56">
        <v>94220</v>
      </c>
      <c r="L307" s="57">
        <v>4</v>
      </c>
      <c r="M307" s="58"/>
    </row>
    <row r="308" spans="1:13" x14ac:dyDescent="0.25">
      <c r="A308" s="42" t="s">
        <v>590</v>
      </c>
      <c r="B308" s="49" t="s">
        <v>251</v>
      </c>
      <c r="C308" s="42" t="s">
        <v>465</v>
      </c>
      <c r="D308" s="75">
        <v>311883362</v>
      </c>
      <c r="E308" s="76">
        <v>2526505454</v>
      </c>
      <c r="F308" s="42" t="s">
        <v>247</v>
      </c>
      <c r="G308" s="52">
        <v>38327</v>
      </c>
      <c r="H308" s="53" t="str">
        <f t="shared" si="8"/>
        <v>Dec</v>
      </c>
      <c r="I308" s="54">
        <f t="shared" ca="1" si="9"/>
        <v>11</v>
      </c>
      <c r="J308" s="55"/>
      <c r="K308" s="56">
        <v>63320</v>
      </c>
      <c r="L308" s="57">
        <v>2</v>
      </c>
      <c r="M308" s="58"/>
    </row>
    <row r="309" spans="1:13" x14ac:dyDescent="0.25">
      <c r="A309" s="42" t="s">
        <v>591</v>
      </c>
      <c r="B309" s="49" t="s">
        <v>285</v>
      </c>
      <c r="C309" s="42" t="s">
        <v>465</v>
      </c>
      <c r="D309" s="75">
        <v>412611335</v>
      </c>
      <c r="E309" s="76">
        <v>2525998691</v>
      </c>
      <c r="F309" s="42" t="s">
        <v>247</v>
      </c>
      <c r="G309" s="52">
        <v>39508</v>
      </c>
      <c r="H309" s="53" t="str">
        <f t="shared" si="8"/>
        <v>Mar</v>
      </c>
      <c r="I309" s="54">
        <f t="shared" ca="1" si="9"/>
        <v>8</v>
      </c>
      <c r="J309" s="55"/>
      <c r="K309" s="56">
        <v>49130</v>
      </c>
      <c r="L309" s="57">
        <v>2</v>
      </c>
      <c r="M309" s="58"/>
    </row>
    <row r="310" spans="1:13" x14ac:dyDescent="0.25">
      <c r="A310" s="42" t="s">
        <v>592</v>
      </c>
      <c r="B310" s="49" t="s">
        <v>251</v>
      </c>
      <c r="C310" s="42" t="s">
        <v>465</v>
      </c>
      <c r="D310" s="75">
        <v>696435191</v>
      </c>
      <c r="E310" s="76">
        <v>2527710498</v>
      </c>
      <c r="F310" s="42" t="s">
        <v>256</v>
      </c>
      <c r="G310" s="52">
        <v>36592</v>
      </c>
      <c r="H310" s="53" t="str">
        <f t="shared" si="8"/>
        <v>Mar</v>
      </c>
      <c r="I310" s="54">
        <f t="shared" ca="1" si="9"/>
        <v>16</v>
      </c>
      <c r="J310" s="55" t="s">
        <v>283</v>
      </c>
      <c r="K310" s="56">
        <v>73380</v>
      </c>
      <c r="L310" s="57">
        <v>2</v>
      </c>
      <c r="M310" s="58"/>
    </row>
    <row r="311" spans="1:13" x14ac:dyDescent="0.25">
      <c r="A311" s="42" t="s">
        <v>593</v>
      </c>
      <c r="B311" s="49" t="s">
        <v>245</v>
      </c>
      <c r="C311" s="42" t="s">
        <v>465</v>
      </c>
      <c r="D311" s="75">
        <v>328787467</v>
      </c>
      <c r="E311" s="76">
        <v>9194897618</v>
      </c>
      <c r="F311" s="42" t="s">
        <v>252</v>
      </c>
      <c r="G311" s="52">
        <v>40088</v>
      </c>
      <c r="H311" s="53" t="str">
        <f t="shared" si="8"/>
        <v>Oct</v>
      </c>
      <c r="I311" s="54">
        <f t="shared" ca="1" si="9"/>
        <v>7</v>
      </c>
      <c r="J311" s="55"/>
      <c r="K311" s="56">
        <v>17300</v>
      </c>
      <c r="L311" s="57">
        <v>4</v>
      </c>
      <c r="M311" s="58"/>
    </row>
    <row r="312" spans="1:13" x14ac:dyDescent="0.25">
      <c r="A312" s="42" t="s">
        <v>594</v>
      </c>
      <c r="B312" s="49" t="s">
        <v>271</v>
      </c>
      <c r="C312" s="42" t="s">
        <v>465</v>
      </c>
      <c r="D312" s="75">
        <v>257249459</v>
      </c>
      <c r="E312" s="76">
        <v>9197775023</v>
      </c>
      <c r="F312" s="42" t="s">
        <v>247</v>
      </c>
      <c r="G312" s="52">
        <v>37638</v>
      </c>
      <c r="H312" s="53" t="str">
        <f t="shared" si="8"/>
        <v>Jan</v>
      </c>
      <c r="I312" s="54">
        <f t="shared" ca="1" si="9"/>
        <v>13</v>
      </c>
      <c r="J312" s="55"/>
      <c r="K312" s="56">
        <v>69120</v>
      </c>
      <c r="L312" s="57">
        <v>3</v>
      </c>
      <c r="M312" s="58"/>
    </row>
    <row r="313" spans="1:13" x14ac:dyDescent="0.25">
      <c r="A313" s="42" t="s">
        <v>595</v>
      </c>
      <c r="B313" s="49" t="s">
        <v>245</v>
      </c>
      <c r="C313" s="42" t="s">
        <v>465</v>
      </c>
      <c r="D313" s="75">
        <v>313128501</v>
      </c>
      <c r="E313" s="76">
        <v>9193184277</v>
      </c>
      <c r="F313" s="42" t="s">
        <v>252</v>
      </c>
      <c r="G313" s="52">
        <v>36491</v>
      </c>
      <c r="H313" s="53" t="str">
        <f t="shared" si="8"/>
        <v>Nov</v>
      </c>
      <c r="I313" s="54">
        <f t="shared" ca="1" si="9"/>
        <v>16</v>
      </c>
      <c r="J313" s="55"/>
      <c r="K313" s="56">
        <v>26970</v>
      </c>
      <c r="L313" s="57">
        <v>1</v>
      </c>
      <c r="M313" s="58"/>
    </row>
    <row r="314" spans="1:13" x14ac:dyDescent="0.25">
      <c r="A314" s="42" t="s">
        <v>596</v>
      </c>
      <c r="B314" s="49" t="s">
        <v>271</v>
      </c>
      <c r="C314" s="42" t="s">
        <v>465</v>
      </c>
      <c r="D314" s="75">
        <v>147724014</v>
      </c>
      <c r="E314" s="76">
        <v>9192212512</v>
      </c>
      <c r="F314" s="42" t="s">
        <v>256</v>
      </c>
      <c r="G314" s="52">
        <v>36189</v>
      </c>
      <c r="H314" s="53" t="str">
        <f t="shared" si="8"/>
        <v>Jan</v>
      </c>
      <c r="I314" s="54">
        <f t="shared" ca="1" si="9"/>
        <v>17</v>
      </c>
      <c r="J314" s="55" t="s">
        <v>283</v>
      </c>
      <c r="K314" s="56">
        <v>53120</v>
      </c>
      <c r="L314" s="57">
        <v>2</v>
      </c>
      <c r="M314" s="58"/>
    </row>
    <row r="315" spans="1:13" x14ac:dyDescent="0.25">
      <c r="A315" s="42" t="s">
        <v>597</v>
      </c>
      <c r="B315" s="49" t="s">
        <v>271</v>
      </c>
      <c r="C315" s="42" t="s">
        <v>465</v>
      </c>
      <c r="D315" s="75">
        <v>676030562</v>
      </c>
      <c r="E315" s="76">
        <v>9198253211</v>
      </c>
      <c r="F315" s="42" t="s">
        <v>256</v>
      </c>
      <c r="G315" s="52">
        <v>36696</v>
      </c>
      <c r="H315" s="53" t="str">
        <f t="shared" si="8"/>
        <v>Jun</v>
      </c>
      <c r="I315" s="54">
        <f t="shared" ca="1" si="9"/>
        <v>16</v>
      </c>
      <c r="J315" s="55" t="s">
        <v>257</v>
      </c>
      <c r="K315" s="56">
        <v>72120</v>
      </c>
      <c r="L315" s="57">
        <v>1</v>
      </c>
      <c r="M315" s="58"/>
    </row>
    <row r="316" spans="1:13" x14ac:dyDescent="0.25">
      <c r="A316" s="42" t="s">
        <v>598</v>
      </c>
      <c r="B316" s="49" t="s">
        <v>271</v>
      </c>
      <c r="C316" s="42" t="s">
        <v>465</v>
      </c>
      <c r="D316" s="75">
        <v>505966230</v>
      </c>
      <c r="E316" s="76">
        <v>9198038161</v>
      </c>
      <c r="F316" s="42" t="s">
        <v>256</v>
      </c>
      <c r="G316" s="52">
        <v>34994</v>
      </c>
      <c r="H316" s="53" t="str">
        <f t="shared" si="8"/>
        <v>Oct</v>
      </c>
      <c r="I316" s="54">
        <f t="shared" ca="1" si="9"/>
        <v>21</v>
      </c>
      <c r="J316" s="55" t="s">
        <v>283</v>
      </c>
      <c r="K316" s="56">
        <v>54600</v>
      </c>
      <c r="L316" s="57">
        <v>3</v>
      </c>
      <c r="M316" s="58"/>
    </row>
    <row r="317" spans="1:13" x14ac:dyDescent="0.25">
      <c r="A317" s="42" t="s">
        <v>599</v>
      </c>
      <c r="B317" s="49" t="s">
        <v>271</v>
      </c>
      <c r="C317" s="42" t="s">
        <v>465</v>
      </c>
      <c r="D317" s="75">
        <v>962553692</v>
      </c>
      <c r="E317" s="76">
        <v>9196689962</v>
      </c>
      <c r="F317" s="42" t="s">
        <v>256</v>
      </c>
      <c r="G317" s="52">
        <v>36157</v>
      </c>
      <c r="H317" s="53" t="str">
        <f t="shared" si="8"/>
        <v>Dec</v>
      </c>
      <c r="I317" s="54">
        <f t="shared" ca="1" si="9"/>
        <v>17</v>
      </c>
      <c r="J317" s="55" t="s">
        <v>283</v>
      </c>
      <c r="K317" s="56">
        <v>103510</v>
      </c>
      <c r="L317" s="57">
        <v>3</v>
      </c>
      <c r="M317" s="58"/>
    </row>
    <row r="318" spans="1:13" x14ac:dyDescent="0.25">
      <c r="A318" s="42" t="s">
        <v>600</v>
      </c>
      <c r="B318" s="49" t="s">
        <v>271</v>
      </c>
      <c r="C318" s="42" t="s">
        <v>465</v>
      </c>
      <c r="D318" s="75">
        <v>468053610</v>
      </c>
      <c r="E318" s="76">
        <v>2525344270</v>
      </c>
      <c r="F318" s="42" t="s">
        <v>256</v>
      </c>
      <c r="G318" s="52">
        <v>38510</v>
      </c>
      <c r="H318" s="53" t="str">
        <f t="shared" si="8"/>
        <v>Jun</v>
      </c>
      <c r="I318" s="54">
        <f t="shared" ca="1" si="9"/>
        <v>11</v>
      </c>
      <c r="J318" s="55" t="s">
        <v>283</v>
      </c>
      <c r="K318" s="56">
        <v>82900</v>
      </c>
      <c r="L318" s="57">
        <v>3</v>
      </c>
      <c r="M318" s="58"/>
    </row>
    <row r="319" spans="1:13" x14ac:dyDescent="0.25">
      <c r="A319" s="42" t="s">
        <v>601</v>
      </c>
      <c r="B319" s="49" t="s">
        <v>271</v>
      </c>
      <c r="C319" s="42" t="s">
        <v>465</v>
      </c>
      <c r="D319" s="75">
        <v>470719383</v>
      </c>
      <c r="E319" s="76">
        <v>9197848542</v>
      </c>
      <c r="F319" s="42" t="s">
        <v>256</v>
      </c>
      <c r="G319" s="52">
        <v>37010</v>
      </c>
      <c r="H319" s="53" t="str">
        <f t="shared" si="8"/>
        <v>Apr</v>
      </c>
      <c r="I319" s="54">
        <f t="shared" ca="1" si="9"/>
        <v>15</v>
      </c>
      <c r="J319" s="55" t="s">
        <v>257</v>
      </c>
      <c r="K319" s="56">
        <v>90140</v>
      </c>
      <c r="L319" s="57">
        <v>5</v>
      </c>
      <c r="M319" s="58"/>
    </row>
    <row r="320" spans="1:13" x14ac:dyDescent="0.25">
      <c r="A320" s="42" t="s">
        <v>602</v>
      </c>
      <c r="B320" s="49" t="s">
        <v>271</v>
      </c>
      <c r="C320" s="42" t="s">
        <v>465</v>
      </c>
      <c r="D320" s="75">
        <v>213584397</v>
      </c>
      <c r="E320" s="76">
        <v>2524138160</v>
      </c>
      <c r="F320" s="42" t="s">
        <v>256</v>
      </c>
      <c r="G320" s="52">
        <v>38332</v>
      </c>
      <c r="H320" s="53" t="str">
        <f t="shared" si="8"/>
        <v>Dec</v>
      </c>
      <c r="I320" s="54">
        <f t="shared" ca="1" si="9"/>
        <v>11</v>
      </c>
      <c r="J320" s="55" t="s">
        <v>283</v>
      </c>
      <c r="K320" s="56">
        <v>75300</v>
      </c>
      <c r="L320" s="57">
        <v>3</v>
      </c>
      <c r="M320" s="58"/>
    </row>
    <row r="321" spans="1:14" x14ac:dyDescent="0.25">
      <c r="A321" s="42" t="s">
        <v>603</v>
      </c>
      <c r="B321" s="49" t="s">
        <v>285</v>
      </c>
      <c r="C321" s="42" t="s">
        <v>465</v>
      </c>
      <c r="D321" s="75">
        <v>475517002</v>
      </c>
      <c r="E321" s="76">
        <v>2523909820</v>
      </c>
      <c r="F321" s="42" t="s">
        <v>256</v>
      </c>
      <c r="G321" s="52">
        <v>37319</v>
      </c>
      <c r="H321" s="53" t="str">
        <f t="shared" si="8"/>
        <v>Mar</v>
      </c>
      <c r="I321" s="54">
        <f t="shared" ca="1" si="9"/>
        <v>14</v>
      </c>
      <c r="J321" s="55" t="s">
        <v>283</v>
      </c>
      <c r="K321" s="56">
        <v>82500</v>
      </c>
      <c r="L321" s="57">
        <v>1</v>
      </c>
      <c r="M321" s="58"/>
    </row>
    <row r="322" spans="1:14" x14ac:dyDescent="0.25">
      <c r="A322" s="42" t="s">
        <v>604</v>
      </c>
      <c r="B322" s="49" t="s">
        <v>285</v>
      </c>
      <c r="C322" s="42" t="s">
        <v>465</v>
      </c>
      <c r="D322" s="75">
        <v>682500261</v>
      </c>
      <c r="E322" s="76">
        <v>9191163627</v>
      </c>
      <c r="F322" s="42" t="s">
        <v>256</v>
      </c>
      <c r="G322" s="52">
        <v>35882</v>
      </c>
      <c r="H322" s="53" t="str">
        <f t="shared" ref="H322:H385" si="10">CHOOSE(MONTH(G322),"Jan","Feb","Mar","Apr","May","Jun","Jul","Aug","Sep","Oct","Nov","Dec")</f>
        <v>Mar</v>
      </c>
      <c r="I322" s="54">
        <f t="shared" ref="I322:I385" ca="1" si="11">DATEDIF(G322,TODAY(),"Y")</f>
        <v>18</v>
      </c>
      <c r="J322" s="55" t="s">
        <v>262</v>
      </c>
      <c r="K322" s="56">
        <v>75680</v>
      </c>
      <c r="L322" s="57">
        <v>1</v>
      </c>
      <c r="M322" s="58"/>
      <c r="N322" s="66"/>
    </row>
    <row r="323" spans="1:14" x14ac:dyDescent="0.25">
      <c r="A323" s="42" t="s">
        <v>605</v>
      </c>
      <c r="B323" s="49" t="s">
        <v>251</v>
      </c>
      <c r="C323" s="42" t="s">
        <v>465</v>
      </c>
      <c r="D323" s="75">
        <v>338977629</v>
      </c>
      <c r="E323" s="76">
        <v>2524252315</v>
      </c>
      <c r="F323" s="42" t="s">
        <v>256</v>
      </c>
      <c r="G323" s="52">
        <v>36802</v>
      </c>
      <c r="H323" s="53" t="str">
        <f t="shared" si="10"/>
        <v>Oct</v>
      </c>
      <c r="I323" s="54">
        <f t="shared" ca="1" si="11"/>
        <v>16</v>
      </c>
      <c r="J323" s="55" t="s">
        <v>257</v>
      </c>
      <c r="K323" s="56">
        <v>94280</v>
      </c>
      <c r="L323" s="57">
        <v>1</v>
      </c>
      <c r="M323" s="58"/>
    </row>
    <row r="324" spans="1:14" x14ac:dyDescent="0.25">
      <c r="A324" s="42" t="s">
        <v>606</v>
      </c>
      <c r="B324" s="49" t="s">
        <v>285</v>
      </c>
      <c r="C324" s="42" t="s">
        <v>465</v>
      </c>
      <c r="D324" s="75">
        <v>876777922</v>
      </c>
      <c r="E324" s="76">
        <v>2527358099</v>
      </c>
      <c r="F324" s="42" t="s">
        <v>247</v>
      </c>
      <c r="G324" s="52">
        <v>41450</v>
      </c>
      <c r="H324" s="53" t="str">
        <f t="shared" si="10"/>
        <v>Jun</v>
      </c>
      <c r="I324" s="54">
        <f t="shared" ca="1" si="11"/>
        <v>3</v>
      </c>
      <c r="J324" s="55"/>
      <c r="K324" s="56">
        <v>106610</v>
      </c>
      <c r="L324" s="57">
        <v>5</v>
      </c>
      <c r="M324" s="58"/>
    </row>
    <row r="325" spans="1:14" x14ac:dyDescent="0.25">
      <c r="A325" s="42" t="s">
        <v>607</v>
      </c>
      <c r="B325" s="49" t="s">
        <v>245</v>
      </c>
      <c r="C325" s="42" t="s">
        <v>465</v>
      </c>
      <c r="D325" s="75">
        <v>684054281</v>
      </c>
      <c r="E325" s="76">
        <v>2522888726</v>
      </c>
      <c r="F325" s="42" t="s">
        <v>256</v>
      </c>
      <c r="G325" s="52">
        <v>39147</v>
      </c>
      <c r="H325" s="53" t="str">
        <f t="shared" si="10"/>
        <v>Mar</v>
      </c>
      <c r="I325" s="54">
        <f t="shared" ca="1" si="11"/>
        <v>9</v>
      </c>
      <c r="J325" s="55" t="s">
        <v>257</v>
      </c>
      <c r="K325" s="56">
        <v>56810</v>
      </c>
      <c r="L325" s="57">
        <v>2</v>
      </c>
      <c r="M325" s="58"/>
    </row>
    <row r="326" spans="1:14" x14ac:dyDescent="0.25">
      <c r="A326" s="42" t="s">
        <v>608</v>
      </c>
      <c r="B326" s="49" t="s">
        <v>285</v>
      </c>
      <c r="C326" s="42" t="s">
        <v>465</v>
      </c>
      <c r="D326" s="75">
        <v>564908088</v>
      </c>
      <c r="E326" s="76">
        <v>9193386758</v>
      </c>
      <c r="F326" s="42" t="s">
        <v>256</v>
      </c>
      <c r="G326" s="52">
        <v>39378</v>
      </c>
      <c r="H326" s="53" t="str">
        <f t="shared" si="10"/>
        <v>Oct</v>
      </c>
      <c r="I326" s="54">
        <f t="shared" ca="1" si="11"/>
        <v>9</v>
      </c>
      <c r="J326" s="55" t="s">
        <v>257</v>
      </c>
      <c r="K326" s="56">
        <v>105310</v>
      </c>
      <c r="L326" s="57">
        <v>1</v>
      </c>
      <c r="M326" s="58"/>
    </row>
    <row r="327" spans="1:14" x14ac:dyDescent="0.25">
      <c r="A327" s="42" t="s">
        <v>609</v>
      </c>
      <c r="B327" s="49" t="s">
        <v>266</v>
      </c>
      <c r="C327" s="42" t="s">
        <v>465</v>
      </c>
      <c r="D327" s="75">
        <v>881975933</v>
      </c>
      <c r="E327" s="76">
        <v>9192354572</v>
      </c>
      <c r="F327" s="42" t="s">
        <v>256</v>
      </c>
      <c r="G327" s="52">
        <v>36831</v>
      </c>
      <c r="H327" s="53" t="str">
        <f t="shared" si="10"/>
        <v>Nov</v>
      </c>
      <c r="I327" s="54">
        <f t="shared" ca="1" si="11"/>
        <v>16</v>
      </c>
      <c r="J327" s="55" t="s">
        <v>267</v>
      </c>
      <c r="K327" s="56">
        <v>42550</v>
      </c>
      <c r="L327" s="57">
        <v>5</v>
      </c>
      <c r="M327" s="58"/>
    </row>
    <row r="328" spans="1:14" x14ac:dyDescent="0.25">
      <c r="A328" s="42" t="s">
        <v>610</v>
      </c>
      <c r="B328" s="49" t="s">
        <v>285</v>
      </c>
      <c r="C328" s="42" t="s">
        <v>465</v>
      </c>
      <c r="D328" s="75">
        <v>597131266</v>
      </c>
      <c r="E328" s="76">
        <v>9195043141</v>
      </c>
      <c r="F328" s="42" t="s">
        <v>256</v>
      </c>
      <c r="G328" s="52">
        <v>36704</v>
      </c>
      <c r="H328" s="53" t="str">
        <f t="shared" si="10"/>
        <v>Jun</v>
      </c>
      <c r="I328" s="54">
        <f t="shared" ca="1" si="11"/>
        <v>16</v>
      </c>
      <c r="J328" s="55" t="s">
        <v>262</v>
      </c>
      <c r="K328" s="56">
        <v>79720</v>
      </c>
      <c r="L328" s="57">
        <v>2</v>
      </c>
      <c r="M328" s="58"/>
    </row>
    <row r="329" spans="1:14" x14ac:dyDescent="0.25">
      <c r="A329" s="42" t="s">
        <v>611</v>
      </c>
      <c r="B329" s="49" t="s">
        <v>245</v>
      </c>
      <c r="C329" s="42" t="s">
        <v>465</v>
      </c>
      <c r="D329" s="75">
        <v>566726453</v>
      </c>
      <c r="E329" s="76">
        <v>9192168237</v>
      </c>
      <c r="F329" s="42" t="s">
        <v>256</v>
      </c>
      <c r="G329" s="52">
        <v>36021</v>
      </c>
      <c r="H329" s="53" t="str">
        <f t="shared" si="10"/>
        <v>Aug</v>
      </c>
      <c r="I329" s="54">
        <f t="shared" ca="1" si="11"/>
        <v>18</v>
      </c>
      <c r="J329" s="55" t="s">
        <v>262</v>
      </c>
      <c r="K329" s="56">
        <v>46730</v>
      </c>
      <c r="L329" s="57">
        <v>2</v>
      </c>
      <c r="M329" s="58"/>
    </row>
    <row r="330" spans="1:14" x14ac:dyDescent="0.25">
      <c r="A330" s="42" t="s">
        <v>612</v>
      </c>
      <c r="B330" s="49" t="s">
        <v>285</v>
      </c>
      <c r="C330" s="42" t="s">
        <v>465</v>
      </c>
      <c r="D330" s="75">
        <v>903618594</v>
      </c>
      <c r="E330" s="76">
        <v>9194733288</v>
      </c>
      <c r="F330" s="42" t="s">
        <v>256</v>
      </c>
      <c r="G330" s="52">
        <v>38867</v>
      </c>
      <c r="H330" s="53" t="str">
        <f t="shared" si="10"/>
        <v>May</v>
      </c>
      <c r="I330" s="54">
        <f t="shared" ca="1" si="11"/>
        <v>10</v>
      </c>
      <c r="J330" s="55" t="s">
        <v>262</v>
      </c>
      <c r="K330" s="56">
        <v>65080</v>
      </c>
      <c r="L330" s="57">
        <v>5</v>
      </c>
      <c r="M330" s="58"/>
    </row>
    <row r="331" spans="1:14" x14ac:dyDescent="0.25">
      <c r="A331" s="42" t="s">
        <v>613</v>
      </c>
      <c r="B331" s="49" t="s">
        <v>285</v>
      </c>
      <c r="C331" s="42" t="s">
        <v>465</v>
      </c>
      <c r="D331" s="75">
        <v>589649495</v>
      </c>
      <c r="E331" s="76">
        <v>2524248455</v>
      </c>
      <c r="F331" s="42" t="s">
        <v>256</v>
      </c>
      <c r="G331" s="52">
        <v>37708</v>
      </c>
      <c r="H331" s="53" t="str">
        <f t="shared" si="10"/>
        <v>Mar</v>
      </c>
      <c r="I331" s="54">
        <f t="shared" ca="1" si="11"/>
        <v>13</v>
      </c>
      <c r="J331" s="55" t="s">
        <v>276</v>
      </c>
      <c r="K331" s="56">
        <v>46640</v>
      </c>
      <c r="L331" s="57">
        <v>2</v>
      </c>
      <c r="M331" s="58"/>
    </row>
    <row r="332" spans="1:14" x14ac:dyDescent="0.25">
      <c r="A332" s="42" t="s">
        <v>614</v>
      </c>
      <c r="B332" s="49" t="s">
        <v>285</v>
      </c>
      <c r="C332" s="42" t="s">
        <v>465</v>
      </c>
      <c r="D332" s="75">
        <v>542653222</v>
      </c>
      <c r="E332" s="76">
        <v>9193708610</v>
      </c>
      <c r="F332" s="42" t="s">
        <v>247</v>
      </c>
      <c r="G332" s="52">
        <v>36998</v>
      </c>
      <c r="H332" s="53" t="str">
        <f t="shared" si="10"/>
        <v>Apr</v>
      </c>
      <c r="I332" s="54">
        <f t="shared" ca="1" si="11"/>
        <v>15</v>
      </c>
      <c r="J332" s="55"/>
      <c r="K332" s="56">
        <v>87020</v>
      </c>
      <c r="L332" s="57">
        <v>3</v>
      </c>
      <c r="M332" s="58"/>
    </row>
    <row r="333" spans="1:14" x14ac:dyDescent="0.25">
      <c r="A333" s="42" t="s">
        <v>615</v>
      </c>
      <c r="B333" s="49" t="s">
        <v>271</v>
      </c>
      <c r="C333" s="42" t="s">
        <v>465</v>
      </c>
      <c r="D333" s="75">
        <v>843064707</v>
      </c>
      <c r="E333" s="76">
        <v>9192687844</v>
      </c>
      <c r="F333" s="42" t="s">
        <v>247</v>
      </c>
      <c r="G333" s="52">
        <v>41681</v>
      </c>
      <c r="H333" s="53" t="str">
        <f t="shared" si="10"/>
        <v>Feb</v>
      </c>
      <c r="I333" s="54">
        <f t="shared" ca="1" si="11"/>
        <v>2</v>
      </c>
      <c r="J333" s="55"/>
      <c r="K333" s="56">
        <v>68530</v>
      </c>
      <c r="L333" s="57">
        <v>3</v>
      </c>
      <c r="M333" s="58"/>
    </row>
    <row r="334" spans="1:14" x14ac:dyDescent="0.25">
      <c r="A334" s="42" t="s">
        <v>616</v>
      </c>
      <c r="B334" s="49" t="s">
        <v>271</v>
      </c>
      <c r="C334" s="42" t="s">
        <v>465</v>
      </c>
      <c r="D334" s="75">
        <v>931105030</v>
      </c>
      <c r="E334" s="76">
        <v>9191397811</v>
      </c>
      <c r="F334" s="42" t="s">
        <v>256</v>
      </c>
      <c r="G334" s="52">
        <v>37274</v>
      </c>
      <c r="H334" s="53" t="str">
        <f t="shared" si="10"/>
        <v>Jan</v>
      </c>
      <c r="I334" s="54">
        <f t="shared" ca="1" si="11"/>
        <v>14</v>
      </c>
      <c r="J334" s="55" t="s">
        <v>283</v>
      </c>
      <c r="K334" s="56">
        <v>73600</v>
      </c>
      <c r="L334" s="57">
        <v>4</v>
      </c>
      <c r="M334" s="58"/>
    </row>
    <row r="335" spans="1:14" x14ac:dyDescent="0.25">
      <c r="A335" s="42" t="s">
        <v>617</v>
      </c>
      <c r="B335" s="49" t="s">
        <v>245</v>
      </c>
      <c r="C335" s="42" t="s">
        <v>618</v>
      </c>
      <c r="D335" s="75">
        <v>292006053</v>
      </c>
      <c r="E335" s="76">
        <v>9197045091</v>
      </c>
      <c r="F335" s="42" t="s">
        <v>247</v>
      </c>
      <c r="G335" s="52">
        <v>37766</v>
      </c>
      <c r="H335" s="53" t="str">
        <f t="shared" si="10"/>
        <v>May</v>
      </c>
      <c r="I335" s="54">
        <f t="shared" ca="1" si="11"/>
        <v>13</v>
      </c>
      <c r="J335" s="55"/>
      <c r="K335" s="56">
        <v>89400</v>
      </c>
      <c r="L335" s="57">
        <v>4</v>
      </c>
      <c r="M335" s="58"/>
    </row>
    <row r="336" spans="1:14" x14ac:dyDescent="0.25">
      <c r="A336" s="42" t="s">
        <v>619</v>
      </c>
      <c r="B336" s="49" t="s">
        <v>280</v>
      </c>
      <c r="C336" s="42" t="s">
        <v>618</v>
      </c>
      <c r="D336" s="75">
        <v>742946482</v>
      </c>
      <c r="E336" s="76">
        <v>9197077326</v>
      </c>
      <c r="F336" s="42" t="s">
        <v>256</v>
      </c>
      <c r="G336" s="52">
        <v>34833</v>
      </c>
      <c r="H336" s="53" t="str">
        <f t="shared" si="10"/>
        <v>May</v>
      </c>
      <c r="I336" s="54">
        <f t="shared" ca="1" si="11"/>
        <v>21</v>
      </c>
      <c r="J336" s="55" t="s">
        <v>257</v>
      </c>
      <c r="K336" s="56">
        <v>46990</v>
      </c>
      <c r="L336" s="57">
        <v>3</v>
      </c>
      <c r="M336" s="58"/>
    </row>
    <row r="337" spans="1:13" x14ac:dyDescent="0.25">
      <c r="A337" s="42" t="s">
        <v>620</v>
      </c>
      <c r="B337" s="49" t="s">
        <v>266</v>
      </c>
      <c r="C337" s="42" t="s">
        <v>618</v>
      </c>
      <c r="D337" s="75">
        <v>380343690</v>
      </c>
      <c r="E337" s="76">
        <v>2523906310</v>
      </c>
      <c r="F337" s="42" t="s">
        <v>247</v>
      </c>
      <c r="G337" s="52">
        <v>41293</v>
      </c>
      <c r="H337" s="53" t="str">
        <f t="shared" si="10"/>
        <v>Jan</v>
      </c>
      <c r="I337" s="54">
        <f t="shared" ca="1" si="11"/>
        <v>3</v>
      </c>
      <c r="J337" s="55"/>
      <c r="K337" s="56">
        <v>74270</v>
      </c>
      <c r="L337" s="57">
        <v>2</v>
      </c>
      <c r="M337" s="58"/>
    </row>
    <row r="338" spans="1:13" x14ac:dyDescent="0.25">
      <c r="A338" s="42" t="s">
        <v>621</v>
      </c>
      <c r="B338" s="49" t="s">
        <v>285</v>
      </c>
      <c r="C338" s="42" t="s">
        <v>618</v>
      </c>
      <c r="D338" s="75">
        <v>214234804</v>
      </c>
      <c r="E338" s="76">
        <v>2528908079</v>
      </c>
      <c r="F338" s="42" t="s">
        <v>256</v>
      </c>
      <c r="G338" s="52">
        <v>38937</v>
      </c>
      <c r="H338" s="53" t="str">
        <f t="shared" si="10"/>
        <v>Aug</v>
      </c>
      <c r="I338" s="54">
        <f t="shared" ca="1" si="11"/>
        <v>10</v>
      </c>
      <c r="J338" s="55" t="s">
        <v>283</v>
      </c>
      <c r="K338" s="56">
        <v>64640</v>
      </c>
      <c r="L338" s="57">
        <v>2</v>
      </c>
      <c r="M338" s="58"/>
    </row>
    <row r="339" spans="1:13" x14ac:dyDescent="0.25">
      <c r="A339" s="42" t="s">
        <v>622</v>
      </c>
      <c r="B339" s="49" t="s">
        <v>245</v>
      </c>
      <c r="C339" s="42" t="s">
        <v>618</v>
      </c>
      <c r="D339" s="75">
        <v>620072502</v>
      </c>
      <c r="E339" s="76">
        <v>9191264013</v>
      </c>
      <c r="F339" s="42" t="s">
        <v>256</v>
      </c>
      <c r="G339" s="52">
        <v>40039</v>
      </c>
      <c r="H339" s="53" t="str">
        <f t="shared" si="10"/>
        <v>Aug</v>
      </c>
      <c r="I339" s="54">
        <f t="shared" ca="1" si="11"/>
        <v>7</v>
      </c>
      <c r="J339" s="55" t="s">
        <v>276</v>
      </c>
      <c r="K339" s="56">
        <v>85680</v>
      </c>
      <c r="L339" s="57">
        <v>4</v>
      </c>
      <c r="M339" s="58"/>
    </row>
    <row r="340" spans="1:13" x14ac:dyDescent="0.25">
      <c r="A340" s="42" t="s">
        <v>623</v>
      </c>
      <c r="B340" s="49" t="s">
        <v>266</v>
      </c>
      <c r="C340" s="42" t="s">
        <v>618</v>
      </c>
      <c r="D340" s="75">
        <v>723930767</v>
      </c>
      <c r="E340" s="76">
        <v>9191375297</v>
      </c>
      <c r="F340" s="42" t="s">
        <v>256</v>
      </c>
      <c r="G340" s="52">
        <v>41314</v>
      </c>
      <c r="H340" s="53" t="str">
        <f t="shared" si="10"/>
        <v>Feb</v>
      </c>
      <c r="I340" s="54">
        <f t="shared" ca="1" si="11"/>
        <v>3</v>
      </c>
      <c r="J340" s="55" t="s">
        <v>283</v>
      </c>
      <c r="K340" s="56">
        <v>32700</v>
      </c>
      <c r="L340" s="57">
        <v>5</v>
      </c>
      <c r="M340" s="58"/>
    </row>
    <row r="341" spans="1:13" x14ac:dyDescent="0.25">
      <c r="A341" s="42" t="s">
        <v>624</v>
      </c>
      <c r="B341" s="49" t="s">
        <v>251</v>
      </c>
      <c r="C341" s="42" t="s">
        <v>618</v>
      </c>
      <c r="D341" s="75">
        <v>370608224</v>
      </c>
      <c r="E341" s="76">
        <v>2521535362</v>
      </c>
      <c r="F341" s="42" t="s">
        <v>256</v>
      </c>
      <c r="G341" s="52">
        <v>38408</v>
      </c>
      <c r="H341" s="53" t="str">
        <f t="shared" si="10"/>
        <v>Feb</v>
      </c>
      <c r="I341" s="54">
        <f t="shared" ca="1" si="11"/>
        <v>11</v>
      </c>
      <c r="J341" s="55" t="s">
        <v>257</v>
      </c>
      <c r="K341" s="56">
        <v>70970</v>
      </c>
      <c r="L341" s="57">
        <v>5</v>
      </c>
      <c r="M341" s="58"/>
    </row>
    <row r="342" spans="1:13" x14ac:dyDescent="0.25">
      <c r="A342" s="42" t="s">
        <v>625</v>
      </c>
      <c r="B342" s="49" t="s">
        <v>285</v>
      </c>
      <c r="C342" s="42" t="s">
        <v>626</v>
      </c>
      <c r="D342" s="75">
        <v>567266382</v>
      </c>
      <c r="E342" s="76">
        <v>2521683770</v>
      </c>
      <c r="F342" s="42" t="s">
        <v>256</v>
      </c>
      <c r="G342" s="52">
        <v>37117</v>
      </c>
      <c r="H342" s="53" t="str">
        <f t="shared" si="10"/>
        <v>Aug</v>
      </c>
      <c r="I342" s="54">
        <f t="shared" ca="1" si="11"/>
        <v>15</v>
      </c>
      <c r="J342" s="55" t="s">
        <v>276</v>
      </c>
      <c r="K342" s="56">
        <v>59720</v>
      </c>
      <c r="L342" s="57">
        <v>1</v>
      </c>
      <c r="M342" s="58"/>
    </row>
    <row r="343" spans="1:13" x14ac:dyDescent="0.25">
      <c r="A343" s="42" t="s">
        <v>627</v>
      </c>
      <c r="B343" s="49" t="s">
        <v>285</v>
      </c>
      <c r="C343" s="42" t="s">
        <v>626</v>
      </c>
      <c r="D343" s="75">
        <v>364404060</v>
      </c>
      <c r="E343" s="76">
        <v>2527722509</v>
      </c>
      <c r="F343" s="42" t="s">
        <v>261</v>
      </c>
      <c r="G343" s="52">
        <v>39363</v>
      </c>
      <c r="H343" s="53" t="str">
        <f t="shared" si="10"/>
        <v>Oct</v>
      </c>
      <c r="I343" s="54">
        <f t="shared" ca="1" si="11"/>
        <v>9</v>
      </c>
      <c r="J343" s="55" t="s">
        <v>257</v>
      </c>
      <c r="K343" s="56">
        <v>37510</v>
      </c>
      <c r="L343" s="57">
        <v>5</v>
      </c>
      <c r="M343" s="58"/>
    </row>
    <row r="344" spans="1:13" x14ac:dyDescent="0.25">
      <c r="A344" s="42" t="s">
        <v>628</v>
      </c>
      <c r="B344" s="49" t="s">
        <v>251</v>
      </c>
      <c r="C344" s="42" t="s">
        <v>626</v>
      </c>
      <c r="D344" s="75">
        <v>634954970</v>
      </c>
      <c r="E344" s="76">
        <v>9194900864</v>
      </c>
      <c r="F344" s="42" t="s">
        <v>256</v>
      </c>
      <c r="G344" s="52">
        <v>36283</v>
      </c>
      <c r="H344" s="53" t="str">
        <f t="shared" si="10"/>
        <v>May</v>
      </c>
      <c r="I344" s="54">
        <f t="shared" ca="1" si="11"/>
        <v>17</v>
      </c>
      <c r="J344" s="55" t="s">
        <v>257</v>
      </c>
      <c r="K344" s="56">
        <v>69070</v>
      </c>
      <c r="L344" s="57">
        <v>4</v>
      </c>
      <c r="M344" s="58"/>
    </row>
    <row r="345" spans="1:13" x14ac:dyDescent="0.25">
      <c r="A345" s="42" t="s">
        <v>629</v>
      </c>
      <c r="B345" s="49" t="s">
        <v>245</v>
      </c>
      <c r="C345" s="42" t="s">
        <v>626</v>
      </c>
      <c r="D345" s="75">
        <v>980960186</v>
      </c>
      <c r="E345" s="76">
        <v>9191517218</v>
      </c>
      <c r="F345" s="42" t="s">
        <v>261</v>
      </c>
      <c r="G345" s="52">
        <v>40099</v>
      </c>
      <c r="H345" s="53" t="str">
        <f t="shared" si="10"/>
        <v>Oct</v>
      </c>
      <c r="I345" s="54">
        <f t="shared" ca="1" si="11"/>
        <v>7</v>
      </c>
      <c r="J345" s="55" t="s">
        <v>283</v>
      </c>
      <c r="K345" s="56">
        <v>57250</v>
      </c>
      <c r="L345" s="57">
        <v>5</v>
      </c>
      <c r="M345" s="58"/>
    </row>
    <row r="346" spans="1:13" x14ac:dyDescent="0.25">
      <c r="A346" s="42" t="s">
        <v>630</v>
      </c>
      <c r="B346" s="49" t="s">
        <v>285</v>
      </c>
      <c r="C346" s="42" t="s">
        <v>626</v>
      </c>
      <c r="D346" s="75">
        <v>424800509</v>
      </c>
      <c r="E346" s="76">
        <v>2523986051</v>
      </c>
      <c r="F346" s="42" t="s">
        <v>256</v>
      </c>
      <c r="G346" s="52">
        <v>37464</v>
      </c>
      <c r="H346" s="53" t="str">
        <f t="shared" si="10"/>
        <v>Jul</v>
      </c>
      <c r="I346" s="54">
        <f t="shared" ca="1" si="11"/>
        <v>14</v>
      </c>
      <c r="J346" s="55" t="s">
        <v>257</v>
      </c>
      <c r="K346" s="56">
        <v>53060</v>
      </c>
      <c r="L346" s="57">
        <v>3</v>
      </c>
      <c r="M346" s="58"/>
    </row>
    <row r="347" spans="1:13" x14ac:dyDescent="0.25">
      <c r="A347" s="42" t="s">
        <v>631</v>
      </c>
      <c r="B347" s="49" t="s">
        <v>251</v>
      </c>
      <c r="C347" s="42" t="s">
        <v>626</v>
      </c>
      <c r="D347" s="75">
        <v>159415552</v>
      </c>
      <c r="E347" s="76">
        <v>9194221208</v>
      </c>
      <c r="F347" s="42" t="s">
        <v>256</v>
      </c>
      <c r="G347" s="52">
        <v>34766</v>
      </c>
      <c r="H347" s="53" t="str">
        <f t="shared" si="10"/>
        <v>Mar</v>
      </c>
      <c r="I347" s="54">
        <f t="shared" ca="1" si="11"/>
        <v>21</v>
      </c>
      <c r="J347" s="55" t="s">
        <v>262</v>
      </c>
      <c r="K347" s="56">
        <v>88720</v>
      </c>
      <c r="L347" s="57">
        <v>1</v>
      </c>
      <c r="M347" s="58"/>
    </row>
    <row r="348" spans="1:13" x14ac:dyDescent="0.25">
      <c r="A348" s="42" t="s">
        <v>632</v>
      </c>
      <c r="B348" s="49" t="s">
        <v>280</v>
      </c>
      <c r="C348" s="42" t="s">
        <v>626</v>
      </c>
      <c r="D348" s="75">
        <v>991764142</v>
      </c>
      <c r="E348" s="76">
        <v>9192490678</v>
      </c>
      <c r="F348" s="42" t="s">
        <v>247</v>
      </c>
      <c r="G348" s="52">
        <v>35948</v>
      </c>
      <c r="H348" s="53" t="str">
        <f t="shared" si="10"/>
        <v>Jun</v>
      </c>
      <c r="I348" s="54">
        <f t="shared" ca="1" si="11"/>
        <v>18</v>
      </c>
      <c r="J348" s="55"/>
      <c r="K348" s="56">
        <v>98320</v>
      </c>
      <c r="L348" s="57">
        <v>5</v>
      </c>
      <c r="M348" s="58"/>
    </row>
    <row r="349" spans="1:13" x14ac:dyDescent="0.25">
      <c r="A349" s="42" t="s">
        <v>633</v>
      </c>
      <c r="B349" s="49" t="s">
        <v>271</v>
      </c>
      <c r="C349" s="42" t="s">
        <v>626</v>
      </c>
      <c r="D349" s="75">
        <v>796685092</v>
      </c>
      <c r="E349" s="76">
        <v>2527469217</v>
      </c>
      <c r="F349" s="42" t="s">
        <v>256</v>
      </c>
      <c r="G349" s="52">
        <v>37457</v>
      </c>
      <c r="H349" s="53" t="str">
        <f t="shared" si="10"/>
        <v>Jul</v>
      </c>
      <c r="I349" s="54">
        <f t="shared" ca="1" si="11"/>
        <v>14</v>
      </c>
      <c r="J349" s="55" t="s">
        <v>283</v>
      </c>
      <c r="K349" s="56">
        <v>52150</v>
      </c>
      <c r="L349" s="57">
        <v>5</v>
      </c>
      <c r="M349" s="58"/>
    </row>
    <row r="350" spans="1:13" x14ac:dyDescent="0.25">
      <c r="A350" s="42" t="s">
        <v>634</v>
      </c>
      <c r="B350" s="49" t="s">
        <v>245</v>
      </c>
      <c r="C350" s="42" t="s">
        <v>626</v>
      </c>
      <c r="D350" s="75">
        <v>422929693</v>
      </c>
      <c r="E350" s="76">
        <v>9191487375</v>
      </c>
      <c r="F350" s="42" t="s">
        <v>256</v>
      </c>
      <c r="G350" s="52">
        <v>37663</v>
      </c>
      <c r="H350" s="53" t="str">
        <f t="shared" si="10"/>
        <v>Feb</v>
      </c>
      <c r="I350" s="54">
        <f t="shared" ca="1" si="11"/>
        <v>13</v>
      </c>
      <c r="J350" s="55" t="s">
        <v>283</v>
      </c>
      <c r="K350" s="56">
        <v>62990</v>
      </c>
      <c r="L350" s="57">
        <v>4</v>
      </c>
      <c r="M350" s="58"/>
    </row>
    <row r="351" spans="1:13" x14ac:dyDescent="0.25">
      <c r="A351" s="42" t="s">
        <v>635</v>
      </c>
      <c r="B351" s="49" t="s">
        <v>271</v>
      </c>
      <c r="C351" s="42" t="s">
        <v>626</v>
      </c>
      <c r="D351" s="75">
        <v>597641409</v>
      </c>
      <c r="E351" s="76">
        <v>9196201509</v>
      </c>
      <c r="F351" s="42" t="s">
        <v>256</v>
      </c>
      <c r="G351" s="52">
        <v>36858</v>
      </c>
      <c r="H351" s="53" t="str">
        <f t="shared" si="10"/>
        <v>Nov</v>
      </c>
      <c r="I351" s="54">
        <f t="shared" ca="1" si="11"/>
        <v>15</v>
      </c>
      <c r="J351" s="55" t="s">
        <v>283</v>
      </c>
      <c r="K351" s="56">
        <v>98530</v>
      </c>
      <c r="L351" s="57">
        <v>3</v>
      </c>
      <c r="M351" s="58"/>
    </row>
    <row r="352" spans="1:13" x14ac:dyDescent="0.25">
      <c r="A352" s="42" t="s">
        <v>636</v>
      </c>
      <c r="B352" s="49" t="s">
        <v>271</v>
      </c>
      <c r="C352" s="42" t="s">
        <v>626</v>
      </c>
      <c r="D352" s="75">
        <v>247406371</v>
      </c>
      <c r="E352" s="76">
        <v>9195299873</v>
      </c>
      <c r="F352" s="42" t="s">
        <v>261</v>
      </c>
      <c r="G352" s="52">
        <v>41352</v>
      </c>
      <c r="H352" s="53" t="str">
        <f t="shared" si="10"/>
        <v>Mar</v>
      </c>
      <c r="I352" s="54">
        <f t="shared" ca="1" si="11"/>
        <v>3</v>
      </c>
      <c r="J352" s="55" t="s">
        <v>283</v>
      </c>
      <c r="K352" s="56">
        <v>24050</v>
      </c>
      <c r="L352" s="57">
        <v>3</v>
      </c>
      <c r="M352" s="58"/>
    </row>
    <row r="353" spans="1:13" x14ac:dyDescent="0.25">
      <c r="A353" s="42" t="s">
        <v>637</v>
      </c>
      <c r="B353" s="49" t="s">
        <v>285</v>
      </c>
      <c r="C353" s="42" t="s">
        <v>626</v>
      </c>
      <c r="D353" s="75">
        <v>385074661</v>
      </c>
      <c r="E353" s="76">
        <v>2527451745</v>
      </c>
      <c r="F353" s="42" t="s">
        <v>256</v>
      </c>
      <c r="G353" s="52">
        <v>35876</v>
      </c>
      <c r="H353" s="53" t="str">
        <f t="shared" si="10"/>
        <v>Mar</v>
      </c>
      <c r="I353" s="54">
        <f t="shared" ca="1" si="11"/>
        <v>18</v>
      </c>
      <c r="J353" s="55" t="s">
        <v>276</v>
      </c>
      <c r="K353" s="56">
        <v>80300</v>
      </c>
      <c r="L353" s="57">
        <v>2</v>
      </c>
      <c r="M353" s="58"/>
    </row>
    <row r="354" spans="1:13" x14ac:dyDescent="0.25">
      <c r="A354" s="42" t="s">
        <v>638</v>
      </c>
      <c r="B354" s="49" t="s">
        <v>285</v>
      </c>
      <c r="C354" s="42" t="s">
        <v>626</v>
      </c>
      <c r="D354" s="75">
        <v>254201611</v>
      </c>
      <c r="E354" s="76">
        <v>9197803578</v>
      </c>
      <c r="F354" s="42" t="s">
        <v>256</v>
      </c>
      <c r="G354" s="52">
        <v>35035</v>
      </c>
      <c r="H354" s="53" t="str">
        <f t="shared" si="10"/>
        <v>Dec</v>
      </c>
      <c r="I354" s="54">
        <f t="shared" ca="1" si="11"/>
        <v>20</v>
      </c>
      <c r="J354" s="55" t="s">
        <v>267</v>
      </c>
      <c r="K354" s="56">
        <v>54220</v>
      </c>
      <c r="L354" s="57">
        <v>5</v>
      </c>
      <c r="M354" s="58"/>
    </row>
    <row r="355" spans="1:13" x14ac:dyDescent="0.25">
      <c r="A355" s="42" t="s">
        <v>639</v>
      </c>
      <c r="B355" s="49" t="s">
        <v>271</v>
      </c>
      <c r="C355" s="42" t="s">
        <v>626</v>
      </c>
      <c r="D355" s="75">
        <v>168791562</v>
      </c>
      <c r="E355" s="76">
        <v>9194161772</v>
      </c>
      <c r="F355" s="42" t="s">
        <v>256</v>
      </c>
      <c r="G355" s="52">
        <v>41362</v>
      </c>
      <c r="H355" s="53" t="str">
        <f t="shared" si="10"/>
        <v>Mar</v>
      </c>
      <c r="I355" s="54">
        <f t="shared" ca="1" si="11"/>
        <v>3</v>
      </c>
      <c r="J355" s="55" t="s">
        <v>267</v>
      </c>
      <c r="K355" s="56">
        <v>90940</v>
      </c>
      <c r="L355" s="57">
        <v>2</v>
      </c>
      <c r="M355" s="58"/>
    </row>
    <row r="356" spans="1:13" x14ac:dyDescent="0.25">
      <c r="A356" s="42" t="s">
        <v>640</v>
      </c>
      <c r="B356" s="49" t="s">
        <v>271</v>
      </c>
      <c r="C356" s="42" t="s">
        <v>626</v>
      </c>
      <c r="D356" s="75">
        <v>999156829</v>
      </c>
      <c r="E356" s="76">
        <v>2521401774</v>
      </c>
      <c r="F356" s="42" t="s">
        <v>256</v>
      </c>
      <c r="G356" s="52">
        <v>41448</v>
      </c>
      <c r="H356" s="53" t="str">
        <f t="shared" si="10"/>
        <v>Jun</v>
      </c>
      <c r="I356" s="54">
        <f t="shared" ca="1" si="11"/>
        <v>3</v>
      </c>
      <c r="J356" s="55" t="s">
        <v>257</v>
      </c>
      <c r="K356" s="56">
        <v>40760</v>
      </c>
      <c r="L356" s="57">
        <v>4</v>
      </c>
      <c r="M356" s="58"/>
    </row>
    <row r="357" spans="1:13" x14ac:dyDescent="0.25">
      <c r="A357" s="42" t="s">
        <v>641</v>
      </c>
      <c r="B357" s="49" t="s">
        <v>251</v>
      </c>
      <c r="C357" s="42" t="s">
        <v>626</v>
      </c>
      <c r="D357" s="75">
        <v>154984918</v>
      </c>
      <c r="E357" s="76">
        <v>2521575684</v>
      </c>
      <c r="F357" s="42" t="s">
        <v>256</v>
      </c>
      <c r="G357" s="52">
        <v>34408</v>
      </c>
      <c r="H357" s="53" t="str">
        <f t="shared" si="10"/>
        <v>Mar</v>
      </c>
      <c r="I357" s="54">
        <f t="shared" ca="1" si="11"/>
        <v>22</v>
      </c>
      <c r="J357" s="55" t="s">
        <v>257</v>
      </c>
      <c r="K357" s="56">
        <v>27480</v>
      </c>
      <c r="L357" s="57">
        <v>1</v>
      </c>
      <c r="M357" s="58"/>
    </row>
    <row r="358" spans="1:13" x14ac:dyDescent="0.25">
      <c r="A358" s="42" t="s">
        <v>642</v>
      </c>
      <c r="B358" s="49" t="s">
        <v>285</v>
      </c>
      <c r="C358" s="42" t="s">
        <v>626</v>
      </c>
      <c r="D358" s="75">
        <v>275102740</v>
      </c>
      <c r="E358" s="76">
        <v>2521620909</v>
      </c>
      <c r="F358" s="42" t="s">
        <v>256</v>
      </c>
      <c r="G358" s="52">
        <v>34696</v>
      </c>
      <c r="H358" s="53" t="str">
        <f t="shared" si="10"/>
        <v>Dec</v>
      </c>
      <c r="I358" s="54">
        <f t="shared" ca="1" si="11"/>
        <v>21</v>
      </c>
      <c r="J358" s="55" t="s">
        <v>262</v>
      </c>
      <c r="K358" s="56">
        <v>72670</v>
      </c>
      <c r="L358" s="57">
        <v>4</v>
      </c>
      <c r="M358" s="58"/>
    </row>
    <row r="359" spans="1:13" x14ac:dyDescent="0.25">
      <c r="A359" s="42" t="s">
        <v>643</v>
      </c>
      <c r="B359" s="49" t="s">
        <v>271</v>
      </c>
      <c r="C359" s="42" t="s">
        <v>626</v>
      </c>
      <c r="D359" s="75">
        <v>555025137</v>
      </c>
      <c r="E359" s="76">
        <v>2526565171</v>
      </c>
      <c r="F359" s="42" t="s">
        <v>261</v>
      </c>
      <c r="G359" s="52">
        <v>34320</v>
      </c>
      <c r="H359" s="53" t="str">
        <f t="shared" si="10"/>
        <v>Dec</v>
      </c>
      <c r="I359" s="54">
        <f t="shared" ca="1" si="11"/>
        <v>22</v>
      </c>
      <c r="J359" s="55" t="s">
        <v>267</v>
      </c>
      <c r="K359" s="56">
        <v>15710</v>
      </c>
      <c r="L359" s="57">
        <v>4</v>
      </c>
      <c r="M359" s="58"/>
    </row>
    <row r="360" spans="1:13" x14ac:dyDescent="0.25">
      <c r="A360" s="42" t="s">
        <v>644</v>
      </c>
      <c r="B360" s="49" t="s">
        <v>271</v>
      </c>
      <c r="C360" s="42" t="s">
        <v>626</v>
      </c>
      <c r="D360" s="75">
        <v>649234799</v>
      </c>
      <c r="E360" s="76">
        <v>2521588597</v>
      </c>
      <c r="F360" s="42" t="s">
        <v>256</v>
      </c>
      <c r="G360" s="52">
        <v>41210</v>
      </c>
      <c r="H360" s="53" t="str">
        <f t="shared" si="10"/>
        <v>Oct</v>
      </c>
      <c r="I360" s="54">
        <f t="shared" ca="1" si="11"/>
        <v>4</v>
      </c>
      <c r="J360" s="55" t="s">
        <v>283</v>
      </c>
      <c r="K360" s="56">
        <v>54310</v>
      </c>
      <c r="L360" s="57">
        <v>4</v>
      </c>
      <c r="M360" s="58"/>
    </row>
    <row r="361" spans="1:13" x14ac:dyDescent="0.25">
      <c r="A361" s="42" t="s">
        <v>645</v>
      </c>
      <c r="B361" s="49" t="s">
        <v>245</v>
      </c>
      <c r="C361" s="42" t="s">
        <v>626</v>
      </c>
      <c r="D361" s="75">
        <v>895408697</v>
      </c>
      <c r="E361" s="76">
        <v>2523383207</v>
      </c>
      <c r="F361" s="42" t="s">
        <v>256</v>
      </c>
      <c r="G361" s="52">
        <v>40158</v>
      </c>
      <c r="H361" s="53" t="str">
        <f t="shared" si="10"/>
        <v>Dec</v>
      </c>
      <c r="I361" s="54">
        <f t="shared" ca="1" si="11"/>
        <v>6</v>
      </c>
      <c r="J361" s="55" t="s">
        <v>283</v>
      </c>
      <c r="K361" s="56">
        <v>57130</v>
      </c>
      <c r="L361" s="57">
        <v>4</v>
      </c>
      <c r="M361" s="58"/>
    </row>
    <row r="362" spans="1:13" x14ac:dyDescent="0.25">
      <c r="A362" s="42" t="s">
        <v>646</v>
      </c>
      <c r="B362" s="49" t="s">
        <v>245</v>
      </c>
      <c r="C362" s="42" t="s">
        <v>626</v>
      </c>
      <c r="D362" s="75">
        <v>343897392</v>
      </c>
      <c r="E362" s="76">
        <v>2526674988</v>
      </c>
      <c r="F362" s="42" t="s">
        <v>256</v>
      </c>
      <c r="G362" s="52">
        <v>36255</v>
      </c>
      <c r="H362" s="53" t="str">
        <f t="shared" si="10"/>
        <v>Apr</v>
      </c>
      <c r="I362" s="54">
        <f t="shared" ca="1" si="11"/>
        <v>17</v>
      </c>
      <c r="J362" s="55" t="s">
        <v>257</v>
      </c>
      <c r="K362" s="56">
        <v>58560</v>
      </c>
      <c r="L362" s="57">
        <v>4</v>
      </c>
      <c r="M362" s="58"/>
    </row>
    <row r="363" spans="1:13" x14ac:dyDescent="0.25">
      <c r="A363" s="42" t="s">
        <v>647</v>
      </c>
      <c r="B363" s="49" t="s">
        <v>245</v>
      </c>
      <c r="C363" s="42" t="s">
        <v>626</v>
      </c>
      <c r="D363" s="75">
        <v>499124019</v>
      </c>
      <c r="E363" s="76">
        <v>9195978858</v>
      </c>
      <c r="F363" s="42" t="s">
        <v>261</v>
      </c>
      <c r="G363" s="52">
        <v>37122</v>
      </c>
      <c r="H363" s="53" t="str">
        <f t="shared" si="10"/>
        <v>Aug</v>
      </c>
      <c r="I363" s="54">
        <f t="shared" ca="1" si="11"/>
        <v>15</v>
      </c>
      <c r="J363" s="55" t="s">
        <v>283</v>
      </c>
      <c r="K363" s="56">
        <v>34660</v>
      </c>
      <c r="L363" s="57">
        <v>3</v>
      </c>
      <c r="M363" s="58"/>
    </row>
    <row r="364" spans="1:13" x14ac:dyDescent="0.25">
      <c r="A364" s="42" t="s">
        <v>648</v>
      </c>
      <c r="B364" s="49" t="s">
        <v>266</v>
      </c>
      <c r="C364" s="42" t="s">
        <v>626</v>
      </c>
      <c r="D364" s="75">
        <v>506165137</v>
      </c>
      <c r="E364" s="76">
        <v>9193613417</v>
      </c>
      <c r="F364" s="42" t="s">
        <v>256</v>
      </c>
      <c r="G364" s="52">
        <v>41084</v>
      </c>
      <c r="H364" s="53" t="str">
        <f t="shared" si="10"/>
        <v>Jun</v>
      </c>
      <c r="I364" s="54">
        <f t="shared" ca="1" si="11"/>
        <v>4</v>
      </c>
      <c r="J364" s="55" t="s">
        <v>283</v>
      </c>
      <c r="K364" s="56">
        <v>52980</v>
      </c>
      <c r="L364" s="57">
        <v>4</v>
      </c>
      <c r="M364" s="58"/>
    </row>
    <row r="365" spans="1:13" x14ac:dyDescent="0.25">
      <c r="A365" s="42" t="s">
        <v>649</v>
      </c>
      <c r="B365" s="49" t="s">
        <v>245</v>
      </c>
      <c r="C365" s="42" t="s">
        <v>626</v>
      </c>
      <c r="D365" s="75">
        <v>372693786</v>
      </c>
      <c r="E365" s="76">
        <v>9198211050</v>
      </c>
      <c r="F365" s="42" t="s">
        <v>261</v>
      </c>
      <c r="G365" s="52">
        <v>38139</v>
      </c>
      <c r="H365" s="53" t="str">
        <f t="shared" si="10"/>
        <v>Jun</v>
      </c>
      <c r="I365" s="54">
        <f t="shared" ca="1" si="11"/>
        <v>12</v>
      </c>
      <c r="J365" s="55" t="s">
        <v>262</v>
      </c>
      <c r="K365" s="56">
        <v>37330</v>
      </c>
      <c r="L365" s="57">
        <v>1</v>
      </c>
      <c r="M365" s="58"/>
    </row>
    <row r="366" spans="1:13" x14ac:dyDescent="0.25">
      <c r="A366" s="42" t="s">
        <v>650</v>
      </c>
      <c r="B366" s="49" t="s">
        <v>251</v>
      </c>
      <c r="C366" s="42" t="s">
        <v>626</v>
      </c>
      <c r="D366" s="75">
        <v>662974752</v>
      </c>
      <c r="E366" s="76">
        <v>2526040465</v>
      </c>
      <c r="F366" s="42" t="s">
        <v>256</v>
      </c>
      <c r="G366" s="52">
        <v>37393</v>
      </c>
      <c r="H366" s="53" t="str">
        <f t="shared" si="10"/>
        <v>May</v>
      </c>
      <c r="I366" s="54">
        <f t="shared" ca="1" si="11"/>
        <v>14</v>
      </c>
      <c r="J366" s="55" t="s">
        <v>283</v>
      </c>
      <c r="K366" s="56">
        <v>61690</v>
      </c>
      <c r="L366" s="57">
        <v>4</v>
      </c>
      <c r="M366" s="58"/>
    </row>
    <row r="367" spans="1:13" x14ac:dyDescent="0.25">
      <c r="A367" s="42" t="s">
        <v>651</v>
      </c>
      <c r="B367" s="49" t="s">
        <v>285</v>
      </c>
      <c r="C367" s="42" t="s">
        <v>626</v>
      </c>
      <c r="D367" s="75">
        <v>751878224</v>
      </c>
      <c r="E367" s="76">
        <v>9194713628</v>
      </c>
      <c r="F367" s="42" t="s">
        <v>256</v>
      </c>
      <c r="G367" s="52">
        <v>34607</v>
      </c>
      <c r="H367" s="53" t="str">
        <f t="shared" si="10"/>
        <v>Sep</v>
      </c>
      <c r="I367" s="54">
        <f t="shared" ca="1" si="11"/>
        <v>22</v>
      </c>
      <c r="J367" s="55" t="s">
        <v>262</v>
      </c>
      <c r="K367" s="56">
        <v>104540</v>
      </c>
      <c r="L367" s="57">
        <v>3</v>
      </c>
      <c r="M367" s="58"/>
    </row>
    <row r="368" spans="1:13" x14ac:dyDescent="0.25">
      <c r="A368" s="42" t="s">
        <v>652</v>
      </c>
      <c r="B368" s="49" t="s">
        <v>266</v>
      </c>
      <c r="C368" s="42" t="s">
        <v>626</v>
      </c>
      <c r="D368" s="75">
        <v>466400098</v>
      </c>
      <c r="E368" s="76">
        <v>2524652136</v>
      </c>
      <c r="F368" s="42" t="s">
        <v>247</v>
      </c>
      <c r="G368" s="52">
        <v>35055</v>
      </c>
      <c r="H368" s="53" t="str">
        <f t="shared" si="10"/>
        <v>Dec</v>
      </c>
      <c r="I368" s="54">
        <f t="shared" ca="1" si="11"/>
        <v>20</v>
      </c>
      <c r="J368" s="55"/>
      <c r="K368" s="56">
        <v>34800</v>
      </c>
      <c r="L368" s="57">
        <v>5</v>
      </c>
      <c r="M368" s="58"/>
    </row>
    <row r="369" spans="1:13" x14ac:dyDescent="0.25">
      <c r="A369" s="42" t="s">
        <v>653</v>
      </c>
      <c r="B369" s="49" t="s">
        <v>245</v>
      </c>
      <c r="C369" s="42" t="s">
        <v>626</v>
      </c>
      <c r="D369" s="75">
        <v>132016163</v>
      </c>
      <c r="E369" s="76">
        <v>2527726916</v>
      </c>
      <c r="F369" s="42" t="s">
        <v>261</v>
      </c>
      <c r="G369" s="52">
        <v>40872</v>
      </c>
      <c r="H369" s="53" t="str">
        <f t="shared" si="10"/>
        <v>Nov</v>
      </c>
      <c r="I369" s="54">
        <f t="shared" ca="1" si="11"/>
        <v>4</v>
      </c>
      <c r="J369" s="55" t="s">
        <v>267</v>
      </c>
      <c r="K369" s="56">
        <v>46290</v>
      </c>
      <c r="L369" s="57">
        <v>2</v>
      </c>
      <c r="M369" s="58"/>
    </row>
    <row r="370" spans="1:13" x14ac:dyDescent="0.25">
      <c r="A370" s="42" t="s">
        <v>654</v>
      </c>
      <c r="B370" s="49" t="s">
        <v>285</v>
      </c>
      <c r="C370" s="42" t="s">
        <v>626</v>
      </c>
      <c r="D370" s="75">
        <v>643272576</v>
      </c>
      <c r="E370" s="76">
        <v>2522256131</v>
      </c>
      <c r="F370" s="42" t="s">
        <v>252</v>
      </c>
      <c r="G370" s="52">
        <v>34306</v>
      </c>
      <c r="H370" s="53" t="str">
        <f t="shared" si="10"/>
        <v>Dec</v>
      </c>
      <c r="I370" s="54">
        <f t="shared" ca="1" si="11"/>
        <v>22</v>
      </c>
      <c r="J370" s="55"/>
      <c r="K370" s="56">
        <v>44210</v>
      </c>
      <c r="L370" s="57">
        <v>4</v>
      </c>
      <c r="M370" s="58"/>
    </row>
    <row r="371" spans="1:13" x14ac:dyDescent="0.25">
      <c r="A371" s="42" t="s">
        <v>655</v>
      </c>
      <c r="B371" s="49" t="s">
        <v>266</v>
      </c>
      <c r="C371" s="42" t="s">
        <v>626</v>
      </c>
      <c r="D371" s="75">
        <v>355985853</v>
      </c>
      <c r="E371" s="76">
        <v>2525478716</v>
      </c>
      <c r="F371" s="42" t="s">
        <v>256</v>
      </c>
      <c r="G371" s="52">
        <v>37298</v>
      </c>
      <c r="H371" s="53" t="str">
        <f t="shared" si="10"/>
        <v>Feb</v>
      </c>
      <c r="I371" s="54">
        <f t="shared" ca="1" si="11"/>
        <v>14</v>
      </c>
      <c r="J371" s="55" t="s">
        <v>257</v>
      </c>
      <c r="K371" s="56">
        <v>55240</v>
      </c>
      <c r="L371" s="57">
        <v>2</v>
      </c>
      <c r="M371" s="58"/>
    </row>
    <row r="372" spans="1:13" x14ac:dyDescent="0.25">
      <c r="A372" s="42" t="s">
        <v>656</v>
      </c>
      <c r="B372" s="49" t="s">
        <v>271</v>
      </c>
      <c r="C372" s="42" t="s">
        <v>626</v>
      </c>
      <c r="D372" s="75">
        <v>400260342</v>
      </c>
      <c r="E372" s="76">
        <v>9196798743</v>
      </c>
      <c r="F372" s="42" t="s">
        <v>247</v>
      </c>
      <c r="G372" s="52">
        <v>40284</v>
      </c>
      <c r="H372" s="53" t="str">
        <f t="shared" si="10"/>
        <v>Apr</v>
      </c>
      <c r="I372" s="54">
        <f t="shared" ca="1" si="11"/>
        <v>6</v>
      </c>
      <c r="J372" s="55"/>
      <c r="K372" s="56">
        <v>89360</v>
      </c>
      <c r="L372" s="57">
        <v>3</v>
      </c>
      <c r="M372" s="58"/>
    </row>
    <row r="373" spans="1:13" x14ac:dyDescent="0.25">
      <c r="A373" s="42" t="s">
        <v>657</v>
      </c>
      <c r="B373" s="49" t="s">
        <v>245</v>
      </c>
      <c r="C373" s="42" t="s">
        <v>626</v>
      </c>
      <c r="D373" s="75">
        <v>259330447</v>
      </c>
      <c r="E373" s="76">
        <v>9195252544</v>
      </c>
      <c r="F373" s="42" t="s">
        <v>247</v>
      </c>
      <c r="G373" s="52">
        <v>37193</v>
      </c>
      <c r="H373" s="53" t="str">
        <f t="shared" si="10"/>
        <v>Oct</v>
      </c>
      <c r="I373" s="54">
        <f t="shared" ca="1" si="11"/>
        <v>15</v>
      </c>
      <c r="J373" s="55"/>
      <c r="K373" s="56">
        <v>57140</v>
      </c>
      <c r="L373" s="57">
        <v>5</v>
      </c>
      <c r="M373" s="58"/>
    </row>
    <row r="374" spans="1:13" x14ac:dyDescent="0.25">
      <c r="A374" s="42" t="s">
        <v>658</v>
      </c>
      <c r="B374" s="49" t="s">
        <v>285</v>
      </c>
      <c r="C374" s="42" t="s">
        <v>626</v>
      </c>
      <c r="D374" s="75">
        <v>157257652</v>
      </c>
      <c r="E374" s="76">
        <v>9193262077</v>
      </c>
      <c r="F374" s="42" t="s">
        <v>247</v>
      </c>
      <c r="G374" s="52">
        <v>37704</v>
      </c>
      <c r="H374" s="53" t="str">
        <f t="shared" si="10"/>
        <v>Mar</v>
      </c>
      <c r="I374" s="54">
        <f t="shared" ca="1" si="11"/>
        <v>13</v>
      </c>
      <c r="J374" s="55"/>
      <c r="K374" s="56">
        <v>60240</v>
      </c>
      <c r="L374" s="57">
        <v>4</v>
      </c>
      <c r="M374" s="58"/>
    </row>
    <row r="375" spans="1:13" x14ac:dyDescent="0.25">
      <c r="A375" s="42" t="s">
        <v>659</v>
      </c>
      <c r="B375" s="49" t="s">
        <v>245</v>
      </c>
      <c r="C375" s="42" t="s">
        <v>626</v>
      </c>
      <c r="D375" s="75">
        <v>738946277</v>
      </c>
      <c r="E375" s="76">
        <v>9194331646</v>
      </c>
      <c r="F375" s="42" t="s">
        <v>256</v>
      </c>
      <c r="G375" s="52">
        <v>34224</v>
      </c>
      <c r="H375" s="53" t="str">
        <f t="shared" si="10"/>
        <v>Sep</v>
      </c>
      <c r="I375" s="54">
        <f t="shared" ca="1" si="11"/>
        <v>23</v>
      </c>
      <c r="J375" s="55" t="s">
        <v>262</v>
      </c>
      <c r="K375" s="56">
        <v>37510</v>
      </c>
      <c r="L375" s="57">
        <v>5</v>
      </c>
      <c r="M375" s="58"/>
    </row>
    <row r="376" spans="1:13" x14ac:dyDescent="0.25">
      <c r="A376" s="42" t="s">
        <v>660</v>
      </c>
      <c r="B376" s="49" t="s">
        <v>245</v>
      </c>
      <c r="C376" s="42" t="s">
        <v>626</v>
      </c>
      <c r="D376" s="75">
        <v>261920277</v>
      </c>
      <c r="E376" s="76">
        <v>2524272773</v>
      </c>
      <c r="F376" s="42" t="s">
        <v>256</v>
      </c>
      <c r="G376" s="52">
        <v>36857</v>
      </c>
      <c r="H376" s="53" t="str">
        <f t="shared" si="10"/>
        <v>Nov</v>
      </c>
      <c r="I376" s="54">
        <f t="shared" ca="1" si="11"/>
        <v>15</v>
      </c>
      <c r="J376" s="55" t="s">
        <v>276</v>
      </c>
      <c r="K376" s="56">
        <v>104200</v>
      </c>
      <c r="L376" s="57">
        <v>3</v>
      </c>
      <c r="M376" s="58"/>
    </row>
    <row r="377" spans="1:13" x14ac:dyDescent="0.25">
      <c r="A377" s="42" t="s">
        <v>661</v>
      </c>
      <c r="B377" s="49" t="s">
        <v>245</v>
      </c>
      <c r="C377" s="42" t="s">
        <v>626</v>
      </c>
      <c r="D377" s="75">
        <v>948189231</v>
      </c>
      <c r="E377" s="76">
        <v>2527687161</v>
      </c>
      <c r="F377" s="42" t="s">
        <v>256</v>
      </c>
      <c r="G377" s="52">
        <v>34703</v>
      </c>
      <c r="H377" s="53" t="str">
        <f t="shared" si="10"/>
        <v>Jan</v>
      </c>
      <c r="I377" s="54">
        <f t="shared" ca="1" si="11"/>
        <v>21</v>
      </c>
      <c r="J377" s="55" t="s">
        <v>257</v>
      </c>
      <c r="K377" s="56">
        <v>44420</v>
      </c>
      <c r="L377" s="57">
        <v>2</v>
      </c>
      <c r="M377" s="58"/>
    </row>
    <row r="378" spans="1:13" x14ac:dyDescent="0.25">
      <c r="A378" s="42" t="s">
        <v>662</v>
      </c>
      <c r="B378" s="49" t="s">
        <v>285</v>
      </c>
      <c r="C378" s="42" t="s">
        <v>626</v>
      </c>
      <c r="D378" s="75">
        <v>443476169</v>
      </c>
      <c r="E378" s="76">
        <v>9195085809</v>
      </c>
      <c r="F378" s="42" t="s">
        <v>256</v>
      </c>
      <c r="G378" s="52">
        <v>35068</v>
      </c>
      <c r="H378" s="53" t="str">
        <f t="shared" si="10"/>
        <v>Jan</v>
      </c>
      <c r="I378" s="54">
        <f t="shared" ca="1" si="11"/>
        <v>20</v>
      </c>
      <c r="J378" s="55" t="s">
        <v>267</v>
      </c>
      <c r="K378" s="56">
        <v>103850</v>
      </c>
      <c r="L378" s="57">
        <v>4</v>
      </c>
      <c r="M378" s="58"/>
    </row>
    <row r="379" spans="1:13" x14ac:dyDescent="0.25">
      <c r="A379" s="42" t="s">
        <v>663</v>
      </c>
      <c r="B379" s="49" t="s">
        <v>285</v>
      </c>
      <c r="C379" s="42" t="s">
        <v>626</v>
      </c>
      <c r="D379" s="75">
        <v>983891302</v>
      </c>
      <c r="E379" s="76">
        <v>9191462245</v>
      </c>
      <c r="F379" s="42" t="s">
        <v>256</v>
      </c>
      <c r="G379" s="52">
        <v>36548</v>
      </c>
      <c r="H379" s="53" t="str">
        <f t="shared" si="10"/>
        <v>Jan</v>
      </c>
      <c r="I379" s="54">
        <f t="shared" ca="1" si="11"/>
        <v>16</v>
      </c>
      <c r="J379" s="55" t="s">
        <v>257</v>
      </c>
      <c r="K379" s="56">
        <v>97970</v>
      </c>
      <c r="L379" s="57">
        <v>4</v>
      </c>
      <c r="M379" s="58"/>
    </row>
    <row r="380" spans="1:13" x14ac:dyDescent="0.25">
      <c r="A380" s="42" t="s">
        <v>664</v>
      </c>
      <c r="B380" s="49" t="s">
        <v>251</v>
      </c>
      <c r="C380" s="42" t="s">
        <v>626</v>
      </c>
      <c r="D380" s="75">
        <v>345817459</v>
      </c>
      <c r="E380" s="76">
        <v>9195594427</v>
      </c>
      <c r="F380" s="42" t="s">
        <v>247</v>
      </c>
      <c r="G380" s="52">
        <v>37200</v>
      </c>
      <c r="H380" s="53" t="str">
        <f t="shared" si="10"/>
        <v>Nov</v>
      </c>
      <c r="I380" s="54">
        <f t="shared" ca="1" si="11"/>
        <v>15</v>
      </c>
      <c r="J380" s="55"/>
      <c r="K380" s="56">
        <v>37520</v>
      </c>
      <c r="L380" s="57">
        <v>5</v>
      </c>
      <c r="M380" s="58"/>
    </row>
    <row r="381" spans="1:13" x14ac:dyDescent="0.25">
      <c r="A381" s="42" t="s">
        <v>665</v>
      </c>
      <c r="B381" s="49" t="s">
        <v>245</v>
      </c>
      <c r="C381" s="42" t="s">
        <v>626</v>
      </c>
      <c r="D381" s="75">
        <v>662247915</v>
      </c>
      <c r="E381" s="76">
        <v>9194378387</v>
      </c>
      <c r="F381" s="42" t="s">
        <v>256</v>
      </c>
      <c r="G381" s="52">
        <v>37941</v>
      </c>
      <c r="H381" s="53" t="str">
        <f t="shared" si="10"/>
        <v>Nov</v>
      </c>
      <c r="I381" s="54">
        <f t="shared" ca="1" si="11"/>
        <v>12</v>
      </c>
      <c r="J381" s="55" t="s">
        <v>257</v>
      </c>
      <c r="K381" s="56">
        <v>58790</v>
      </c>
      <c r="L381" s="57">
        <v>5</v>
      </c>
      <c r="M381" s="58"/>
    </row>
    <row r="382" spans="1:13" x14ac:dyDescent="0.25">
      <c r="A382" s="42" t="s">
        <v>666</v>
      </c>
      <c r="B382" s="49" t="s">
        <v>285</v>
      </c>
      <c r="C382" s="42" t="s">
        <v>626</v>
      </c>
      <c r="D382" s="75">
        <v>422957475</v>
      </c>
      <c r="E382" s="76">
        <v>2524273090</v>
      </c>
      <c r="F382" s="42" t="s">
        <v>256</v>
      </c>
      <c r="G382" s="52">
        <v>35178</v>
      </c>
      <c r="H382" s="53" t="str">
        <f t="shared" si="10"/>
        <v>Apr</v>
      </c>
      <c r="I382" s="54">
        <f t="shared" ca="1" si="11"/>
        <v>20</v>
      </c>
      <c r="J382" s="55" t="s">
        <v>283</v>
      </c>
      <c r="K382" s="56">
        <v>78300</v>
      </c>
      <c r="L382" s="57">
        <v>2</v>
      </c>
      <c r="M382" s="58"/>
    </row>
    <row r="383" spans="1:13" x14ac:dyDescent="0.25">
      <c r="A383" s="42" t="s">
        <v>667</v>
      </c>
      <c r="B383" s="49" t="s">
        <v>280</v>
      </c>
      <c r="C383" s="42" t="s">
        <v>626</v>
      </c>
      <c r="D383" s="75">
        <v>357081517</v>
      </c>
      <c r="E383" s="76">
        <v>2527660273</v>
      </c>
      <c r="F383" s="42" t="s">
        <v>261</v>
      </c>
      <c r="G383" s="52">
        <v>37372</v>
      </c>
      <c r="H383" s="53" t="str">
        <f t="shared" si="10"/>
        <v>Apr</v>
      </c>
      <c r="I383" s="54">
        <f t="shared" ca="1" si="11"/>
        <v>14</v>
      </c>
      <c r="J383" s="55" t="s">
        <v>283</v>
      </c>
      <c r="K383" s="56">
        <v>32150</v>
      </c>
      <c r="L383" s="57">
        <v>2</v>
      </c>
      <c r="M383" s="58"/>
    </row>
    <row r="384" spans="1:13" x14ac:dyDescent="0.25">
      <c r="A384" s="42" t="s">
        <v>668</v>
      </c>
      <c r="B384" s="49" t="s">
        <v>271</v>
      </c>
      <c r="C384" s="42" t="s">
        <v>626</v>
      </c>
      <c r="D384" s="75">
        <v>626767704</v>
      </c>
      <c r="E384" s="76">
        <v>2526971022</v>
      </c>
      <c r="F384" s="42" t="s">
        <v>247</v>
      </c>
      <c r="G384" s="52">
        <v>36777</v>
      </c>
      <c r="H384" s="53" t="str">
        <f t="shared" si="10"/>
        <v>Sep</v>
      </c>
      <c r="I384" s="54">
        <f t="shared" ca="1" si="11"/>
        <v>16</v>
      </c>
      <c r="J384" s="55"/>
      <c r="K384" s="56">
        <v>93520</v>
      </c>
      <c r="L384" s="57">
        <v>5</v>
      </c>
      <c r="M384" s="58"/>
    </row>
    <row r="385" spans="1:17" x14ac:dyDescent="0.25">
      <c r="A385" s="42" t="s">
        <v>669</v>
      </c>
      <c r="B385" s="49" t="s">
        <v>285</v>
      </c>
      <c r="C385" s="42" t="s">
        <v>626</v>
      </c>
      <c r="D385" s="75">
        <v>479081328</v>
      </c>
      <c r="E385" s="76">
        <v>2525368383</v>
      </c>
      <c r="F385" s="42" t="s">
        <v>247</v>
      </c>
      <c r="G385" s="52">
        <v>36683</v>
      </c>
      <c r="H385" s="53" t="str">
        <f t="shared" si="10"/>
        <v>Jun</v>
      </c>
      <c r="I385" s="54">
        <f t="shared" ca="1" si="11"/>
        <v>16</v>
      </c>
      <c r="J385" s="55"/>
      <c r="K385" s="56">
        <v>76620</v>
      </c>
      <c r="L385" s="57">
        <v>2</v>
      </c>
      <c r="M385" s="58"/>
    </row>
    <row r="386" spans="1:17" x14ac:dyDescent="0.25">
      <c r="A386" s="42" t="s">
        <v>670</v>
      </c>
      <c r="B386" s="49" t="s">
        <v>245</v>
      </c>
      <c r="C386" s="42" t="s">
        <v>626</v>
      </c>
      <c r="D386" s="75">
        <v>917714039</v>
      </c>
      <c r="E386" s="76">
        <v>9194402150</v>
      </c>
      <c r="F386" s="42" t="s">
        <v>256</v>
      </c>
      <c r="G386" s="52">
        <v>36221</v>
      </c>
      <c r="H386" s="53" t="str">
        <f t="shared" ref="H386:H449" si="12">CHOOSE(MONTH(G386),"Jan","Feb","Mar","Apr","May","Jun","Jul","Aug","Sep","Oct","Nov","Dec")</f>
        <v>Mar</v>
      </c>
      <c r="I386" s="54">
        <f t="shared" ref="I386:I449" ca="1" si="13">DATEDIF(G386,TODAY(),"Y")</f>
        <v>17</v>
      </c>
      <c r="J386" s="55" t="s">
        <v>267</v>
      </c>
      <c r="K386" s="56">
        <v>84580</v>
      </c>
      <c r="L386" s="57">
        <v>4</v>
      </c>
      <c r="M386" s="58"/>
    </row>
    <row r="387" spans="1:17" x14ac:dyDescent="0.25">
      <c r="A387" s="42" t="s">
        <v>671</v>
      </c>
      <c r="B387" s="49" t="s">
        <v>266</v>
      </c>
      <c r="C387" s="42" t="s">
        <v>626</v>
      </c>
      <c r="D387" s="75">
        <v>650784238</v>
      </c>
      <c r="E387" s="76">
        <v>9194679864</v>
      </c>
      <c r="F387" s="42" t="s">
        <v>247</v>
      </c>
      <c r="G387" s="52">
        <v>36519</v>
      </c>
      <c r="H387" s="53" t="str">
        <f t="shared" si="12"/>
        <v>Dec</v>
      </c>
      <c r="I387" s="54">
        <f t="shared" ca="1" si="13"/>
        <v>16</v>
      </c>
      <c r="J387" s="55"/>
      <c r="K387" s="56">
        <v>64640</v>
      </c>
      <c r="L387" s="57">
        <v>2</v>
      </c>
      <c r="M387" s="58"/>
    </row>
    <row r="388" spans="1:17" x14ac:dyDescent="0.25">
      <c r="A388" s="42" t="s">
        <v>672</v>
      </c>
      <c r="B388" s="49" t="s">
        <v>280</v>
      </c>
      <c r="C388" s="42" t="s">
        <v>626</v>
      </c>
      <c r="D388" s="75">
        <v>279097202</v>
      </c>
      <c r="E388" s="81">
        <v>9196844371</v>
      </c>
      <c r="F388" s="42" t="s">
        <v>256</v>
      </c>
      <c r="G388" s="52">
        <v>34248</v>
      </c>
      <c r="H388" s="53" t="str">
        <f t="shared" si="12"/>
        <v>Oct</v>
      </c>
      <c r="I388" s="54">
        <f t="shared" ca="1" si="13"/>
        <v>23</v>
      </c>
      <c r="J388" s="55" t="s">
        <v>257</v>
      </c>
      <c r="K388" s="56">
        <v>75290</v>
      </c>
      <c r="L388" s="57">
        <v>4</v>
      </c>
      <c r="M388" s="58"/>
    </row>
    <row r="389" spans="1:17" x14ac:dyDescent="0.25">
      <c r="A389" s="42" t="s">
        <v>673</v>
      </c>
      <c r="B389" s="49" t="s">
        <v>280</v>
      </c>
      <c r="C389" s="42" t="s">
        <v>626</v>
      </c>
      <c r="D389" s="75">
        <v>168147877</v>
      </c>
      <c r="E389" s="76">
        <v>9196530760</v>
      </c>
      <c r="F389" s="42" t="s">
        <v>261</v>
      </c>
      <c r="G389" s="52">
        <v>38142</v>
      </c>
      <c r="H389" s="53" t="str">
        <f t="shared" si="12"/>
        <v>Jun</v>
      </c>
      <c r="I389" s="54">
        <f t="shared" ca="1" si="13"/>
        <v>12</v>
      </c>
      <c r="J389" s="55" t="s">
        <v>276</v>
      </c>
      <c r="K389" s="56">
        <v>19090</v>
      </c>
      <c r="L389" s="57">
        <v>3</v>
      </c>
      <c r="M389" s="58"/>
    </row>
    <row r="390" spans="1:17" x14ac:dyDescent="0.25">
      <c r="A390" s="42" t="s">
        <v>674</v>
      </c>
      <c r="B390" s="49" t="s">
        <v>251</v>
      </c>
      <c r="C390" s="42" t="s">
        <v>626</v>
      </c>
      <c r="D390" s="75">
        <v>788451186</v>
      </c>
      <c r="E390" s="76">
        <v>9191682521</v>
      </c>
      <c r="F390" s="42" t="s">
        <v>247</v>
      </c>
      <c r="G390" s="52">
        <v>39497</v>
      </c>
      <c r="H390" s="53" t="str">
        <f t="shared" si="12"/>
        <v>Feb</v>
      </c>
      <c r="I390" s="54">
        <f t="shared" ca="1" si="13"/>
        <v>8</v>
      </c>
      <c r="J390" s="55"/>
      <c r="K390" s="56">
        <v>69020</v>
      </c>
      <c r="L390" s="57">
        <v>3</v>
      </c>
      <c r="M390" s="58"/>
    </row>
    <row r="391" spans="1:17" x14ac:dyDescent="0.25">
      <c r="A391" s="42" t="s">
        <v>675</v>
      </c>
      <c r="B391" s="49" t="s">
        <v>285</v>
      </c>
      <c r="C391" s="42" t="s">
        <v>626</v>
      </c>
      <c r="D391" s="75">
        <v>294161481</v>
      </c>
      <c r="E391" s="76">
        <v>2521201242</v>
      </c>
      <c r="F391" s="42" t="s">
        <v>261</v>
      </c>
      <c r="G391" s="52">
        <v>37095</v>
      </c>
      <c r="H391" s="53" t="str">
        <f t="shared" si="12"/>
        <v>Jul</v>
      </c>
      <c r="I391" s="54">
        <f t="shared" ca="1" si="13"/>
        <v>15</v>
      </c>
      <c r="J391" s="55" t="s">
        <v>257</v>
      </c>
      <c r="K391" s="56">
        <v>57460</v>
      </c>
      <c r="L391" s="57">
        <v>1</v>
      </c>
      <c r="M391" s="58"/>
    </row>
    <row r="392" spans="1:17" x14ac:dyDescent="0.25">
      <c r="A392" s="42" t="s">
        <v>676</v>
      </c>
      <c r="B392" s="49" t="s">
        <v>271</v>
      </c>
      <c r="C392" s="42" t="s">
        <v>626</v>
      </c>
      <c r="D392" s="75">
        <v>393290045</v>
      </c>
      <c r="E392" s="76">
        <v>2525268508</v>
      </c>
      <c r="F392" s="42" t="s">
        <v>261</v>
      </c>
      <c r="G392" s="52">
        <v>38167</v>
      </c>
      <c r="H392" s="53" t="str">
        <f t="shared" si="12"/>
        <v>Jun</v>
      </c>
      <c r="I392" s="54">
        <f t="shared" ca="1" si="13"/>
        <v>12</v>
      </c>
      <c r="J392" s="55" t="s">
        <v>262</v>
      </c>
      <c r="K392" s="56">
        <v>56750</v>
      </c>
      <c r="L392" s="57">
        <v>4</v>
      </c>
      <c r="M392" s="58"/>
    </row>
    <row r="393" spans="1:17" x14ac:dyDescent="0.25">
      <c r="A393" s="42" t="s">
        <v>677</v>
      </c>
      <c r="B393" s="49" t="s">
        <v>285</v>
      </c>
      <c r="C393" s="42" t="s">
        <v>678</v>
      </c>
      <c r="D393" s="75">
        <v>414905182</v>
      </c>
      <c r="E393" s="76">
        <v>9193820411</v>
      </c>
      <c r="F393" s="42" t="s">
        <v>256</v>
      </c>
      <c r="G393" s="52">
        <v>36122</v>
      </c>
      <c r="H393" s="53" t="str">
        <f t="shared" si="12"/>
        <v>Nov</v>
      </c>
      <c r="I393" s="54">
        <f t="shared" ca="1" si="13"/>
        <v>17</v>
      </c>
      <c r="J393" s="55" t="s">
        <v>283</v>
      </c>
      <c r="K393" s="56">
        <v>27430</v>
      </c>
      <c r="L393" s="57">
        <v>5</v>
      </c>
      <c r="M393" s="58"/>
      <c r="P393" s="78"/>
      <c r="Q393" s="78"/>
    </row>
    <row r="394" spans="1:17" x14ac:dyDescent="0.25">
      <c r="A394" s="42" t="s">
        <v>679</v>
      </c>
      <c r="B394" s="49" t="s">
        <v>285</v>
      </c>
      <c r="C394" s="42" t="s">
        <v>678</v>
      </c>
      <c r="D394" s="75">
        <v>802700229</v>
      </c>
      <c r="E394" s="76">
        <v>2524264889</v>
      </c>
      <c r="F394" s="42" t="s">
        <v>256</v>
      </c>
      <c r="G394" s="52">
        <v>34905</v>
      </c>
      <c r="H394" s="53" t="str">
        <f t="shared" si="12"/>
        <v>Jul</v>
      </c>
      <c r="I394" s="54">
        <f t="shared" ca="1" si="13"/>
        <v>21</v>
      </c>
      <c r="J394" s="55" t="s">
        <v>262</v>
      </c>
      <c r="K394" s="56">
        <v>105580</v>
      </c>
      <c r="L394" s="57">
        <v>1</v>
      </c>
      <c r="M394" s="58"/>
    </row>
    <row r="395" spans="1:17" x14ac:dyDescent="0.25">
      <c r="A395" s="42" t="s">
        <v>680</v>
      </c>
      <c r="B395" s="49" t="s">
        <v>280</v>
      </c>
      <c r="C395" s="42" t="s">
        <v>678</v>
      </c>
      <c r="D395" s="75">
        <v>303641529</v>
      </c>
      <c r="E395" s="76">
        <v>9196753698</v>
      </c>
      <c r="F395" s="42" t="s">
        <v>261</v>
      </c>
      <c r="G395" s="52">
        <v>36151</v>
      </c>
      <c r="H395" s="53" t="str">
        <f t="shared" si="12"/>
        <v>Dec</v>
      </c>
      <c r="I395" s="54">
        <f t="shared" ca="1" si="13"/>
        <v>17</v>
      </c>
      <c r="J395" s="55" t="s">
        <v>257</v>
      </c>
      <c r="K395" s="56">
        <v>59290</v>
      </c>
      <c r="L395" s="57">
        <v>4</v>
      </c>
      <c r="M395" s="58"/>
    </row>
    <row r="396" spans="1:17" x14ac:dyDescent="0.25">
      <c r="A396" s="42" t="s">
        <v>681</v>
      </c>
      <c r="B396" s="49" t="s">
        <v>280</v>
      </c>
      <c r="C396" s="42" t="s">
        <v>678</v>
      </c>
      <c r="D396" s="75">
        <v>478004556</v>
      </c>
      <c r="E396" s="76">
        <v>9193891189</v>
      </c>
      <c r="F396" s="42" t="s">
        <v>256</v>
      </c>
      <c r="G396" s="52">
        <v>41534</v>
      </c>
      <c r="H396" s="53" t="str">
        <f t="shared" si="12"/>
        <v>Sep</v>
      </c>
      <c r="I396" s="54">
        <f t="shared" ca="1" si="13"/>
        <v>3</v>
      </c>
      <c r="J396" s="55" t="s">
        <v>276</v>
      </c>
      <c r="K396" s="56">
        <v>74620</v>
      </c>
      <c r="L396" s="57">
        <v>2</v>
      </c>
      <c r="M396" s="58"/>
    </row>
    <row r="397" spans="1:17" x14ac:dyDescent="0.25">
      <c r="A397" s="42" t="s">
        <v>682</v>
      </c>
      <c r="B397" s="49" t="s">
        <v>251</v>
      </c>
      <c r="C397" s="42" t="s">
        <v>678</v>
      </c>
      <c r="D397" s="75">
        <v>859204644</v>
      </c>
      <c r="E397" s="76">
        <v>9191617913</v>
      </c>
      <c r="F397" s="42" t="s">
        <v>247</v>
      </c>
      <c r="G397" s="52">
        <v>36725</v>
      </c>
      <c r="H397" s="53" t="str">
        <f t="shared" si="12"/>
        <v>Jul</v>
      </c>
      <c r="I397" s="54">
        <f t="shared" ca="1" si="13"/>
        <v>16</v>
      </c>
      <c r="J397" s="55"/>
      <c r="K397" s="56">
        <v>103760</v>
      </c>
      <c r="L397" s="57">
        <v>4</v>
      </c>
      <c r="M397" s="58"/>
    </row>
    <row r="398" spans="1:17" x14ac:dyDescent="0.25">
      <c r="A398" s="42" t="s">
        <v>683</v>
      </c>
      <c r="B398" s="49" t="s">
        <v>266</v>
      </c>
      <c r="C398" s="42" t="s">
        <v>678</v>
      </c>
      <c r="D398" s="75">
        <v>917195248</v>
      </c>
      <c r="E398" s="76">
        <v>9194605984</v>
      </c>
      <c r="F398" s="42" t="s">
        <v>252</v>
      </c>
      <c r="G398" s="52">
        <v>38828</v>
      </c>
      <c r="H398" s="53" t="str">
        <f t="shared" si="12"/>
        <v>Apr</v>
      </c>
      <c r="I398" s="54">
        <f t="shared" ca="1" si="13"/>
        <v>10</v>
      </c>
      <c r="J398" s="55"/>
      <c r="K398" s="56">
        <v>13250</v>
      </c>
      <c r="L398" s="57">
        <v>2</v>
      </c>
      <c r="M398" s="58"/>
    </row>
    <row r="399" spans="1:17" x14ac:dyDescent="0.25">
      <c r="A399" s="42" t="s">
        <v>684</v>
      </c>
      <c r="B399" s="49" t="s">
        <v>271</v>
      </c>
      <c r="C399" s="42" t="s">
        <v>678</v>
      </c>
      <c r="D399" s="75">
        <v>788832967</v>
      </c>
      <c r="E399" s="76">
        <v>2521919147</v>
      </c>
      <c r="F399" s="42" t="s">
        <v>252</v>
      </c>
      <c r="G399" s="52">
        <v>36382</v>
      </c>
      <c r="H399" s="53" t="str">
        <f t="shared" si="12"/>
        <v>Aug</v>
      </c>
      <c r="I399" s="54">
        <f t="shared" ca="1" si="13"/>
        <v>17</v>
      </c>
      <c r="J399" s="55"/>
      <c r="K399" s="56">
        <v>42370</v>
      </c>
      <c r="L399" s="57">
        <v>3</v>
      </c>
      <c r="M399" s="58"/>
      <c r="P399" s="78"/>
      <c r="Q399" s="78"/>
    </row>
    <row r="400" spans="1:17" x14ac:dyDescent="0.25">
      <c r="A400" s="42" t="s">
        <v>685</v>
      </c>
      <c r="B400" s="49" t="s">
        <v>266</v>
      </c>
      <c r="C400" s="42" t="s">
        <v>678</v>
      </c>
      <c r="D400" s="75">
        <v>113377726</v>
      </c>
      <c r="E400" s="76">
        <v>9197494648</v>
      </c>
      <c r="F400" s="42" t="s">
        <v>256</v>
      </c>
      <c r="G400" s="52">
        <v>37467</v>
      </c>
      <c r="H400" s="53" t="str">
        <f t="shared" si="12"/>
        <v>Jul</v>
      </c>
      <c r="I400" s="54">
        <f t="shared" ca="1" si="13"/>
        <v>14</v>
      </c>
      <c r="J400" s="55" t="s">
        <v>283</v>
      </c>
      <c r="K400" s="56">
        <v>82090</v>
      </c>
      <c r="L400" s="57">
        <v>5</v>
      </c>
      <c r="M400" s="58"/>
    </row>
    <row r="401" spans="1:13" x14ac:dyDescent="0.25">
      <c r="A401" s="42" t="s">
        <v>686</v>
      </c>
      <c r="B401" s="49" t="s">
        <v>280</v>
      </c>
      <c r="C401" s="42" t="s">
        <v>678</v>
      </c>
      <c r="D401" s="75">
        <v>665006199</v>
      </c>
      <c r="E401" s="76">
        <v>2525555817</v>
      </c>
      <c r="F401" s="42" t="s">
        <v>256</v>
      </c>
      <c r="G401" s="52">
        <v>37568</v>
      </c>
      <c r="H401" s="53" t="str">
        <f t="shared" si="12"/>
        <v>Nov</v>
      </c>
      <c r="I401" s="54">
        <f t="shared" ca="1" si="13"/>
        <v>14</v>
      </c>
      <c r="J401" s="55" t="s">
        <v>276</v>
      </c>
      <c r="K401" s="56">
        <v>54540</v>
      </c>
      <c r="L401" s="57">
        <v>5</v>
      </c>
      <c r="M401" s="58"/>
    </row>
    <row r="402" spans="1:13" x14ac:dyDescent="0.25">
      <c r="A402" s="42" t="s">
        <v>687</v>
      </c>
      <c r="B402" s="49" t="s">
        <v>271</v>
      </c>
      <c r="C402" s="42" t="s">
        <v>678</v>
      </c>
      <c r="D402" s="75">
        <v>332302868</v>
      </c>
      <c r="E402" s="76">
        <v>9196109756</v>
      </c>
      <c r="F402" s="42" t="s">
        <v>256</v>
      </c>
      <c r="G402" s="52">
        <v>37176</v>
      </c>
      <c r="H402" s="53" t="str">
        <f t="shared" si="12"/>
        <v>Oct</v>
      </c>
      <c r="I402" s="54">
        <f t="shared" ca="1" si="13"/>
        <v>15</v>
      </c>
      <c r="J402" s="55" t="s">
        <v>283</v>
      </c>
      <c r="K402" s="56">
        <v>28220</v>
      </c>
      <c r="L402" s="57">
        <v>2</v>
      </c>
      <c r="M402" s="58"/>
    </row>
    <row r="403" spans="1:13" x14ac:dyDescent="0.25">
      <c r="A403" s="42" t="s">
        <v>688</v>
      </c>
      <c r="B403" s="49" t="s">
        <v>251</v>
      </c>
      <c r="C403" s="42" t="s">
        <v>678</v>
      </c>
      <c r="D403" s="75">
        <v>755945415</v>
      </c>
      <c r="E403" s="76">
        <v>2524373324</v>
      </c>
      <c r="F403" s="42" t="s">
        <v>247</v>
      </c>
      <c r="G403" s="52">
        <v>41334</v>
      </c>
      <c r="H403" s="53" t="str">
        <f t="shared" si="12"/>
        <v>Mar</v>
      </c>
      <c r="I403" s="54">
        <f t="shared" ca="1" si="13"/>
        <v>3</v>
      </c>
      <c r="J403" s="55"/>
      <c r="K403" s="56">
        <v>88820</v>
      </c>
      <c r="L403" s="57">
        <v>2</v>
      </c>
      <c r="M403" s="58"/>
    </row>
    <row r="404" spans="1:13" x14ac:dyDescent="0.25">
      <c r="A404" s="42" t="s">
        <v>689</v>
      </c>
      <c r="B404" s="49" t="s">
        <v>285</v>
      </c>
      <c r="C404" s="42" t="s">
        <v>678</v>
      </c>
      <c r="D404" s="75">
        <v>167646549</v>
      </c>
      <c r="E404" s="76">
        <v>9197187041</v>
      </c>
      <c r="F404" s="42" t="s">
        <v>247</v>
      </c>
      <c r="G404" s="52">
        <v>38804</v>
      </c>
      <c r="H404" s="53" t="str">
        <f t="shared" si="12"/>
        <v>Mar</v>
      </c>
      <c r="I404" s="54">
        <f t="shared" ca="1" si="13"/>
        <v>10</v>
      </c>
      <c r="J404" s="55"/>
      <c r="K404" s="56">
        <v>93720</v>
      </c>
      <c r="L404" s="57">
        <v>3</v>
      </c>
      <c r="M404" s="58"/>
    </row>
    <row r="405" spans="1:13" x14ac:dyDescent="0.25">
      <c r="A405" s="42" t="s">
        <v>690</v>
      </c>
      <c r="B405" s="49" t="s">
        <v>280</v>
      </c>
      <c r="C405" s="42" t="s">
        <v>678</v>
      </c>
      <c r="D405" s="75">
        <v>247555666</v>
      </c>
      <c r="E405" s="76">
        <v>2528183445</v>
      </c>
      <c r="F405" s="42" t="s">
        <v>256</v>
      </c>
      <c r="G405" s="52">
        <v>34618</v>
      </c>
      <c r="H405" s="53" t="str">
        <f t="shared" si="12"/>
        <v>Oct</v>
      </c>
      <c r="I405" s="54">
        <f t="shared" ca="1" si="13"/>
        <v>22</v>
      </c>
      <c r="J405" s="55" t="s">
        <v>257</v>
      </c>
      <c r="K405" s="56">
        <v>46930</v>
      </c>
      <c r="L405" s="57">
        <v>5</v>
      </c>
      <c r="M405" s="58"/>
    </row>
    <row r="406" spans="1:13" x14ac:dyDescent="0.25">
      <c r="A406" s="42" t="s">
        <v>691</v>
      </c>
      <c r="B406" s="49" t="s">
        <v>245</v>
      </c>
      <c r="C406" s="42" t="s">
        <v>678</v>
      </c>
      <c r="D406" s="75">
        <v>550291321</v>
      </c>
      <c r="E406" s="76">
        <v>9192529195</v>
      </c>
      <c r="F406" s="42" t="s">
        <v>247</v>
      </c>
      <c r="G406" s="52">
        <v>37048</v>
      </c>
      <c r="H406" s="53" t="str">
        <f t="shared" si="12"/>
        <v>Jun</v>
      </c>
      <c r="I406" s="54">
        <f t="shared" ca="1" si="13"/>
        <v>15</v>
      </c>
      <c r="J406" s="55"/>
      <c r="K406" s="56">
        <v>86980</v>
      </c>
      <c r="L406" s="57">
        <v>2</v>
      </c>
      <c r="M406" s="58"/>
    </row>
    <row r="407" spans="1:13" x14ac:dyDescent="0.25">
      <c r="A407" s="42" t="s">
        <v>692</v>
      </c>
      <c r="B407" s="49" t="s">
        <v>285</v>
      </c>
      <c r="C407" s="42" t="s">
        <v>678</v>
      </c>
      <c r="D407" s="75">
        <v>468953266</v>
      </c>
      <c r="E407" s="76">
        <v>9192126707</v>
      </c>
      <c r="F407" s="42" t="s">
        <v>256</v>
      </c>
      <c r="G407" s="52">
        <v>34742</v>
      </c>
      <c r="H407" s="53" t="str">
        <f t="shared" si="12"/>
        <v>Feb</v>
      </c>
      <c r="I407" s="54">
        <f t="shared" ca="1" si="13"/>
        <v>21</v>
      </c>
      <c r="J407" s="55" t="s">
        <v>257</v>
      </c>
      <c r="K407" s="56">
        <v>58260</v>
      </c>
      <c r="L407" s="57">
        <v>5</v>
      </c>
      <c r="M407" s="58"/>
    </row>
    <row r="408" spans="1:13" x14ac:dyDescent="0.25">
      <c r="A408" s="42" t="s">
        <v>693</v>
      </c>
      <c r="B408" s="49" t="s">
        <v>245</v>
      </c>
      <c r="C408" s="42" t="s">
        <v>678</v>
      </c>
      <c r="D408" s="75">
        <v>261486180</v>
      </c>
      <c r="E408" s="76">
        <v>2522523567</v>
      </c>
      <c r="F408" s="42" t="s">
        <v>247</v>
      </c>
      <c r="G408" s="52">
        <v>38237</v>
      </c>
      <c r="H408" s="53" t="str">
        <f t="shared" si="12"/>
        <v>Sep</v>
      </c>
      <c r="I408" s="54">
        <f t="shared" ca="1" si="13"/>
        <v>12</v>
      </c>
      <c r="J408" s="55"/>
      <c r="K408" s="56">
        <v>35450</v>
      </c>
      <c r="L408" s="57">
        <v>3</v>
      </c>
      <c r="M408" s="58"/>
    </row>
    <row r="409" spans="1:13" x14ac:dyDescent="0.25">
      <c r="A409" s="42" t="s">
        <v>694</v>
      </c>
      <c r="B409" s="49" t="s">
        <v>285</v>
      </c>
      <c r="C409" s="42" t="s">
        <v>678</v>
      </c>
      <c r="D409" s="75">
        <v>557568959</v>
      </c>
      <c r="E409" s="76">
        <v>9192783818</v>
      </c>
      <c r="F409" s="42" t="s">
        <v>247</v>
      </c>
      <c r="G409" s="52">
        <v>36448</v>
      </c>
      <c r="H409" s="53" t="str">
        <f t="shared" si="12"/>
        <v>Oct</v>
      </c>
      <c r="I409" s="54">
        <f t="shared" ca="1" si="13"/>
        <v>17</v>
      </c>
      <c r="J409" s="55"/>
      <c r="K409" s="56">
        <v>65030</v>
      </c>
      <c r="L409" s="57">
        <v>4</v>
      </c>
      <c r="M409" s="58"/>
    </row>
    <row r="410" spans="1:13" x14ac:dyDescent="0.25">
      <c r="A410" s="42" t="s">
        <v>695</v>
      </c>
      <c r="B410" s="49" t="s">
        <v>271</v>
      </c>
      <c r="C410" s="42" t="s">
        <v>678</v>
      </c>
      <c r="D410" s="75">
        <v>122440839</v>
      </c>
      <c r="E410" s="76">
        <v>2526525807</v>
      </c>
      <c r="F410" s="42" t="s">
        <v>261</v>
      </c>
      <c r="G410" s="52">
        <v>36962</v>
      </c>
      <c r="H410" s="53" t="str">
        <f t="shared" si="12"/>
        <v>Mar</v>
      </c>
      <c r="I410" s="54">
        <f t="shared" ca="1" si="13"/>
        <v>15</v>
      </c>
      <c r="J410" s="55" t="s">
        <v>257</v>
      </c>
      <c r="K410" s="56">
        <v>24600</v>
      </c>
      <c r="L410" s="57">
        <v>3</v>
      </c>
      <c r="M410" s="58"/>
    </row>
    <row r="411" spans="1:13" x14ac:dyDescent="0.25">
      <c r="A411" s="42" t="s">
        <v>696</v>
      </c>
      <c r="B411" s="49" t="s">
        <v>271</v>
      </c>
      <c r="C411" s="42" t="s">
        <v>678</v>
      </c>
      <c r="D411" s="75">
        <v>797431044</v>
      </c>
      <c r="E411" s="76">
        <v>2523820613</v>
      </c>
      <c r="F411" s="42" t="s">
        <v>252</v>
      </c>
      <c r="G411" s="52">
        <v>37085</v>
      </c>
      <c r="H411" s="53" t="str">
        <f t="shared" si="12"/>
        <v>Jul</v>
      </c>
      <c r="I411" s="54">
        <f t="shared" ca="1" si="13"/>
        <v>15</v>
      </c>
      <c r="J411" s="55"/>
      <c r="K411" s="56">
        <v>26000</v>
      </c>
      <c r="L411" s="57">
        <v>4</v>
      </c>
      <c r="M411" s="58"/>
    </row>
    <row r="412" spans="1:13" x14ac:dyDescent="0.25">
      <c r="A412" s="42" t="s">
        <v>697</v>
      </c>
      <c r="B412" s="49" t="s">
        <v>271</v>
      </c>
      <c r="C412" s="42" t="s">
        <v>678</v>
      </c>
      <c r="D412" s="75">
        <v>397835298</v>
      </c>
      <c r="E412" s="76">
        <v>9196795200</v>
      </c>
      <c r="F412" s="42" t="s">
        <v>247</v>
      </c>
      <c r="G412" s="52">
        <v>41373</v>
      </c>
      <c r="H412" s="53" t="str">
        <f t="shared" si="12"/>
        <v>Apr</v>
      </c>
      <c r="I412" s="54">
        <f t="shared" ca="1" si="13"/>
        <v>3</v>
      </c>
      <c r="J412" s="55"/>
      <c r="K412" s="56">
        <v>90120</v>
      </c>
      <c r="L412" s="57">
        <v>4</v>
      </c>
      <c r="M412" s="58"/>
    </row>
    <row r="413" spans="1:13" x14ac:dyDescent="0.25">
      <c r="A413" s="42" t="s">
        <v>698</v>
      </c>
      <c r="B413" s="49" t="s">
        <v>271</v>
      </c>
      <c r="C413" s="42" t="s">
        <v>678</v>
      </c>
      <c r="D413" s="75">
        <v>221364716</v>
      </c>
      <c r="E413" s="76">
        <v>2521389906</v>
      </c>
      <c r="F413" s="42" t="s">
        <v>256</v>
      </c>
      <c r="G413" s="52">
        <v>37899</v>
      </c>
      <c r="H413" s="53" t="str">
        <f t="shared" si="12"/>
        <v>Oct</v>
      </c>
      <c r="I413" s="54">
        <f t="shared" ca="1" si="13"/>
        <v>13</v>
      </c>
      <c r="J413" s="55" t="s">
        <v>257</v>
      </c>
      <c r="K413" s="56">
        <v>86180</v>
      </c>
      <c r="L413" s="57">
        <v>2</v>
      </c>
      <c r="M413" s="58"/>
    </row>
    <row r="414" spans="1:13" x14ac:dyDescent="0.25">
      <c r="A414" s="42" t="s">
        <v>699</v>
      </c>
      <c r="B414" s="49" t="s">
        <v>245</v>
      </c>
      <c r="C414" s="42" t="s">
        <v>700</v>
      </c>
      <c r="D414" s="75">
        <v>252582122</v>
      </c>
      <c r="E414" s="76">
        <v>9197764351</v>
      </c>
      <c r="F414" s="42" t="s">
        <v>247</v>
      </c>
      <c r="G414" s="52">
        <v>36452</v>
      </c>
      <c r="H414" s="53" t="str">
        <f t="shared" si="12"/>
        <v>Oct</v>
      </c>
      <c r="I414" s="54">
        <f t="shared" ca="1" si="13"/>
        <v>17</v>
      </c>
      <c r="J414" s="55"/>
      <c r="K414" s="56">
        <v>30140</v>
      </c>
      <c r="L414" s="57">
        <v>2</v>
      </c>
      <c r="M414" s="58"/>
    </row>
    <row r="415" spans="1:13" x14ac:dyDescent="0.25">
      <c r="A415" s="42" t="s">
        <v>701</v>
      </c>
      <c r="B415" s="49" t="s">
        <v>285</v>
      </c>
      <c r="C415" s="42" t="s">
        <v>700</v>
      </c>
      <c r="D415" s="75">
        <v>974912089</v>
      </c>
      <c r="E415" s="76">
        <v>9192601200</v>
      </c>
      <c r="F415" s="42" t="s">
        <v>256</v>
      </c>
      <c r="G415" s="52">
        <v>35815</v>
      </c>
      <c r="H415" s="53" t="str">
        <f t="shared" si="12"/>
        <v>Jan</v>
      </c>
      <c r="I415" s="54">
        <f t="shared" ca="1" si="13"/>
        <v>18</v>
      </c>
      <c r="J415" s="55" t="s">
        <v>257</v>
      </c>
      <c r="K415" s="56">
        <v>75830</v>
      </c>
      <c r="L415" s="57">
        <v>1</v>
      </c>
      <c r="M415" s="58"/>
    </row>
    <row r="416" spans="1:13" x14ac:dyDescent="0.25">
      <c r="A416" s="42" t="s">
        <v>702</v>
      </c>
      <c r="B416" s="49" t="s">
        <v>245</v>
      </c>
      <c r="C416" s="42" t="s">
        <v>700</v>
      </c>
      <c r="D416" s="75">
        <v>425943144</v>
      </c>
      <c r="E416" s="76">
        <v>2522911046</v>
      </c>
      <c r="F416" s="42" t="s">
        <v>247</v>
      </c>
      <c r="G416" s="52">
        <v>35409</v>
      </c>
      <c r="H416" s="53" t="str">
        <f t="shared" si="12"/>
        <v>Dec</v>
      </c>
      <c r="I416" s="54">
        <f t="shared" ca="1" si="13"/>
        <v>19</v>
      </c>
      <c r="J416" s="55"/>
      <c r="K416" s="56">
        <v>86040</v>
      </c>
      <c r="L416" s="57">
        <v>2</v>
      </c>
      <c r="M416" s="58"/>
    </row>
    <row r="417" spans="1:13" x14ac:dyDescent="0.25">
      <c r="A417" s="42" t="s">
        <v>703</v>
      </c>
      <c r="B417" s="49" t="s">
        <v>271</v>
      </c>
      <c r="C417" s="42" t="s">
        <v>700</v>
      </c>
      <c r="D417" s="75">
        <v>121688720</v>
      </c>
      <c r="E417" s="76">
        <v>9194794769</v>
      </c>
      <c r="F417" s="42" t="s">
        <v>247</v>
      </c>
      <c r="G417" s="52">
        <v>36568</v>
      </c>
      <c r="H417" s="53" t="str">
        <f t="shared" si="12"/>
        <v>Feb</v>
      </c>
      <c r="I417" s="54">
        <f t="shared" ca="1" si="13"/>
        <v>16</v>
      </c>
      <c r="J417" s="55"/>
      <c r="K417" s="56">
        <v>53780</v>
      </c>
      <c r="L417" s="57">
        <v>4</v>
      </c>
      <c r="M417" s="58"/>
    </row>
    <row r="418" spans="1:13" x14ac:dyDescent="0.25">
      <c r="A418" s="42" t="s">
        <v>704</v>
      </c>
      <c r="B418" s="49" t="s">
        <v>271</v>
      </c>
      <c r="C418" s="42" t="s">
        <v>705</v>
      </c>
      <c r="D418" s="75">
        <v>290385638</v>
      </c>
      <c r="E418" s="76">
        <v>9194518022</v>
      </c>
      <c r="F418" s="42" t="s">
        <v>261</v>
      </c>
      <c r="G418" s="52">
        <v>34503</v>
      </c>
      <c r="H418" s="53" t="str">
        <f t="shared" si="12"/>
        <v>Jun</v>
      </c>
      <c r="I418" s="54">
        <f t="shared" ca="1" si="13"/>
        <v>22</v>
      </c>
      <c r="J418" s="55" t="s">
        <v>262</v>
      </c>
      <c r="K418" s="56">
        <v>42050</v>
      </c>
      <c r="L418" s="57">
        <v>4</v>
      </c>
      <c r="M418" s="58"/>
    </row>
    <row r="419" spans="1:13" x14ac:dyDescent="0.25">
      <c r="A419" s="42" t="s">
        <v>706</v>
      </c>
      <c r="B419" s="49" t="s">
        <v>266</v>
      </c>
      <c r="C419" s="42" t="s">
        <v>705</v>
      </c>
      <c r="D419" s="75">
        <v>851400058</v>
      </c>
      <c r="E419" s="76">
        <v>9196012031</v>
      </c>
      <c r="F419" s="42" t="s">
        <v>261</v>
      </c>
      <c r="G419" s="52">
        <v>41394</v>
      </c>
      <c r="H419" s="53" t="str">
        <f t="shared" si="12"/>
        <v>Apr</v>
      </c>
      <c r="I419" s="54">
        <f t="shared" ca="1" si="13"/>
        <v>3</v>
      </c>
      <c r="J419" s="55" t="s">
        <v>257</v>
      </c>
      <c r="K419" s="56">
        <v>20310</v>
      </c>
      <c r="L419" s="57">
        <v>1</v>
      </c>
      <c r="M419" s="58"/>
    </row>
    <row r="420" spans="1:13" x14ac:dyDescent="0.25">
      <c r="A420" s="42" t="s">
        <v>707</v>
      </c>
      <c r="B420" s="49" t="s">
        <v>280</v>
      </c>
      <c r="C420" s="42" t="s">
        <v>705</v>
      </c>
      <c r="D420" s="75">
        <v>542214575</v>
      </c>
      <c r="E420" s="76">
        <v>2522172913</v>
      </c>
      <c r="F420" s="42" t="s">
        <v>256</v>
      </c>
      <c r="G420" s="52">
        <v>35703</v>
      </c>
      <c r="H420" s="53" t="str">
        <f t="shared" si="12"/>
        <v>Sep</v>
      </c>
      <c r="I420" s="54">
        <f t="shared" ca="1" si="13"/>
        <v>19</v>
      </c>
      <c r="J420" s="55" t="s">
        <v>257</v>
      </c>
      <c r="K420" s="56">
        <v>104440</v>
      </c>
      <c r="L420" s="57">
        <v>3</v>
      </c>
      <c r="M420" s="58"/>
    </row>
    <row r="421" spans="1:13" x14ac:dyDescent="0.25">
      <c r="A421" s="42" t="s">
        <v>708</v>
      </c>
      <c r="B421" s="49" t="s">
        <v>271</v>
      </c>
      <c r="C421" s="42" t="s">
        <v>705</v>
      </c>
      <c r="D421" s="75">
        <v>272714784</v>
      </c>
      <c r="E421" s="76">
        <v>9191162663</v>
      </c>
      <c r="F421" s="42" t="s">
        <v>252</v>
      </c>
      <c r="G421" s="52">
        <v>38712</v>
      </c>
      <c r="H421" s="53" t="str">
        <f t="shared" si="12"/>
        <v>Dec</v>
      </c>
      <c r="I421" s="54">
        <f t="shared" ca="1" si="13"/>
        <v>10</v>
      </c>
      <c r="J421" s="55"/>
      <c r="K421" s="56">
        <v>25980</v>
      </c>
      <c r="L421" s="57">
        <v>2</v>
      </c>
      <c r="M421" s="58"/>
    </row>
    <row r="422" spans="1:13" x14ac:dyDescent="0.25">
      <c r="A422" s="42" t="s">
        <v>709</v>
      </c>
      <c r="B422" s="49" t="s">
        <v>245</v>
      </c>
      <c r="C422" s="42" t="s">
        <v>705</v>
      </c>
      <c r="D422" s="75">
        <v>972791650</v>
      </c>
      <c r="E422" s="76">
        <v>2525236892</v>
      </c>
      <c r="F422" s="42" t="s">
        <v>261</v>
      </c>
      <c r="G422" s="52">
        <v>38471</v>
      </c>
      <c r="H422" s="53" t="str">
        <f t="shared" si="12"/>
        <v>Apr</v>
      </c>
      <c r="I422" s="54">
        <f t="shared" ca="1" si="13"/>
        <v>11</v>
      </c>
      <c r="J422" s="55" t="s">
        <v>257</v>
      </c>
      <c r="K422" s="56">
        <v>40570</v>
      </c>
      <c r="L422" s="57">
        <v>5</v>
      </c>
      <c r="M422" s="58"/>
    </row>
    <row r="423" spans="1:13" x14ac:dyDescent="0.25">
      <c r="A423" s="42" t="s">
        <v>710</v>
      </c>
      <c r="B423" s="49" t="s">
        <v>251</v>
      </c>
      <c r="C423" s="42" t="s">
        <v>705</v>
      </c>
      <c r="D423" s="75">
        <v>551132018</v>
      </c>
      <c r="E423" s="76">
        <v>2525796953</v>
      </c>
      <c r="F423" s="42" t="s">
        <v>256</v>
      </c>
      <c r="G423" s="52">
        <v>41371</v>
      </c>
      <c r="H423" s="53" t="str">
        <f t="shared" si="12"/>
        <v>Apr</v>
      </c>
      <c r="I423" s="54">
        <f t="shared" ca="1" si="13"/>
        <v>3</v>
      </c>
      <c r="J423" s="55" t="s">
        <v>257</v>
      </c>
      <c r="K423" s="56">
        <v>80210</v>
      </c>
      <c r="L423" s="57">
        <v>4</v>
      </c>
      <c r="M423" s="58"/>
    </row>
    <row r="424" spans="1:13" x14ac:dyDescent="0.25">
      <c r="A424" s="42" t="s">
        <v>711</v>
      </c>
      <c r="B424" s="49" t="s">
        <v>271</v>
      </c>
      <c r="C424" s="42" t="s">
        <v>705</v>
      </c>
      <c r="D424" s="75">
        <v>972086665</v>
      </c>
      <c r="E424" s="76">
        <v>2526007063</v>
      </c>
      <c r="F424" s="42" t="s">
        <v>256</v>
      </c>
      <c r="G424" s="52">
        <v>39228</v>
      </c>
      <c r="H424" s="53" t="str">
        <f t="shared" si="12"/>
        <v>May</v>
      </c>
      <c r="I424" s="54">
        <f t="shared" ca="1" si="13"/>
        <v>9</v>
      </c>
      <c r="J424" s="55" t="s">
        <v>283</v>
      </c>
      <c r="K424" s="56">
        <v>103440</v>
      </c>
      <c r="L424" s="57">
        <v>3</v>
      </c>
      <c r="M424" s="58"/>
    </row>
    <row r="425" spans="1:13" x14ac:dyDescent="0.25">
      <c r="A425" s="42" t="s">
        <v>712</v>
      </c>
      <c r="B425" s="49" t="s">
        <v>271</v>
      </c>
      <c r="C425" s="42" t="s">
        <v>705</v>
      </c>
      <c r="D425" s="75">
        <v>948252103</v>
      </c>
      <c r="E425" s="76">
        <v>9197430732</v>
      </c>
      <c r="F425" s="42" t="s">
        <v>252</v>
      </c>
      <c r="G425" s="52">
        <v>37330</v>
      </c>
      <c r="H425" s="53" t="str">
        <f t="shared" si="12"/>
        <v>Mar</v>
      </c>
      <c r="I425" s="54">
        <f t="shared" ca="1" si="13"/>
        <v>14</v>
      </c>
      <c r="J425" s="55"/>
      <c r="K425" s="56">
        <v>47720</v>
      </c>
      <c r="L425" s="57">
        <v>1</v>
      </c>
      <c r="M425" s="58"/>
    </row>
    <row r="426" spans="1:13" x14ac:dyDescent="0.25">
      <c r="A426" s="42" t="s">
        <v>713</v>
      </c>
      <c r="B426" s="49" t="s">
        <v>245</v>
      </c>
      <c r="C426" s="42" t="s">
        <v>705</v>
      </c>
      <c r="D426" s="75">
        <v>869524136</v>
      </c>
      <c r="E426" s="76">
        <v>9193640748</v>
      </c>
      <c r="F426" s="42" t="s">
        <v>256</v>
      </c>
      <c r="G426" s="52">
        <v>36340</v>
      </c>
      <c r="H426" s="53" t="str">
        <f t="shared" si="12"/>
        <v>Jun</v>
      </c>
      <c r="I426" s="54">
        <f t="shared" ca="1" si="13"/>
        <v>17</v>
      </c>
      <c r="J426" s="55" t="s">
        <v>283</v>
      </c>
      <c r="K426" s="56">
        <v>52090</v>
      </c>
      <c r="L426" s="57">
        <v>1</v>
      </c>
      <c r="M426" s="58"/>
    </row>
    <row r="427" spans="1:13" x14ac:dyDescent="0.25">
      <c r="A427" s="42" t="s">
        <v>714</v>
      </c>
      <c r="B427" s="49" t="s">
        <v>280</v>
      </c>
      <c r="C427" s="42" t="s">
        <v>705</v>
      </c>
      <c r="D427" s="75">
        <v>213741822</v>
      </c>
      <c r="E427" s="76">
        <v>2521780498</v>
      </c>
      <c r="F427" s="42" t="s">
        <v>247</v>
      </c>
      <c r="G427" s="52">
        <v>36922</v>
      </c>
      <c r="H427" s="53" t="str">
        <f t="shared" si="12"/>
        <v>Jan</v>
      </c>
      <c r="I427" s="54">
        <f t="shared" ca="1" si="13"/>
        <v>15</v>
      </c>
      <c r="J427" s="55"/>
      <c r="K427" s="56">
        <v>76000</v>
      </c>
      <c r="L427" s="57">
        <v>4</v>
      </c>
      <c r="M427" s="58"/>
    </row>
    <row r="428" spans="1:13" x14ac:dyDescent="0.25">
      <c r="A428" s="42" t="s">
        <v>715</v>
      </c>
      <c r="B428" s="49" t="s">
        <v>245</v>
      </c>
      <c r="C428" s="42" t="s">
        <v>705</v>
      </c>
      <c r="D428" s="75">
        <v>724193735</v>
      </c>
      <c r="E428" s="76">
        <v>2528627048</v>
      </c>
      <c r="F428" s="42" t="s">
        <v>256</v>
      </c>
      <c r="G428" s="52">
        <v>34621</v>
      </c>
      <c r="H428" s="53" t="str">
        <f t="shared" si="12"/>
        <v>Oct</v>
      </c>
      <c r="I428" s="54">
        <f t="shared" ca="1" si="13"/>
        <v>22</v>
      </c>
      <c r="J428" s="55" t="s">
        <v>283</v>
      </c>
      <c r="K428" s="56">
        <v>51830</v>
      </c>
      <c r="L428" s="57">
        <v>2</v>
      </c>
      <c r="M428" s="58"/>
    </row>
    <row r="429" spans="1:13" x14ac:dyDescent="0.25">
      <c r="A429" s="42" t="s">
        <v>716</v>
      </c>
      <c r="B429" s="49" t="s">
        <v>251</v>
      </c>
      <c r="C429" s="42" t="s">
        <v>705</v>
      </c>
      <c r="D429" s="75">
        <v>761337848</v>
      </c>
      <c r="E429" s="76">
        <v>9193967339</v>
      </c>
      <c r="F429" s="42" t="s">
        <v>247</v>
      </c>
      <c r="G429" s="52">
        <v>35503</v>
      </c>
      <c r="H429" s="53" t="str">
        <f t="shared" si="12"/>
        <v>Mar</v>
      </c>
      <c r="I429" s="54">
        <f t="shared" ca="1" si="13"/>
        <v>19</v>
      </c>
      <c r="J429" s="55"/>
      <c r="K429" s="56">
        <v>80050</v>
      </c>
      <c r="L429" s="57">
        <v>2</v>
      </c>
      <c r="M429" s="58"/>
    </row>
    <row r="430" spans="1:13" x14ac:dyDescent="0.25">
      <c r="A430" s="42" t="s">
        <v>717</v>
      </c>
      <c r="B430" s="49" t="s">
        <v>285</v>
      </c>
      <c r="C430" s="42" t="s">
        <v>705</v>
      </c>
      <c r="D430" s="75">
        <v>365499498</v>
      </c>
      <c r="E430" s="76">
        <v>2523575849</v>
      </c>
      <c r="F430" s="42" t="s">
        <v>256</v>
      </c>
      <c r="G430" s="52">
        <v>39808</v>
      </c>
      <c r="H430" s="53" t="str">
        <f t="shared" si="12"/>
        <v>Dec</v>
      </c>
      <c r="I430" s="54">
        <f t="shared" ca="1" si="13"/>
        <v>7</v>
      </c>
      <c r="J430" s="55" t="s">
        <v>257</v>
      </c>
      <c r="K430" s="56">
        <v>56470</v>
      </c>
      <c r="L430" s="57">
        <v>4</v>
      </c>
      <c r="M430" s="58"/>
    </row>
    <row r="431" spans="1:13" x14ac:dyDescent="0.25">
      <c r="A431" s="42" t="s">
        <v>718</v>
      </c>
      <c r="B431" s="49" t="s">
        <v>285</v>
      </c>
      <c r="C431" s="42" t="s">
        <v>705</v>
      </c>
      <c r="D431" s="75">
        <v>248820119</v>
      </c>
      <c r="E431" s="76">
        <v>2521711684</v>
      </c>
      <c r="F431" s="42" t="s">
        <v>256</v>
      </c>
      <c r="G431" s="52">
        <v>36904</v>
      </c>
      <c r="H431" s="53" t="str">
        <f t="shared" si="12"/>
        <v>Jan</v>
      </c>
      <c r="I431" s="54">
        <f t="shared" ca="1" si="13"/>
        <v>15</v>
      </c>
      <c r="J431" s="55" t="s">
        <v>257</v>
      </c>
      <c r="K431" s="56">
        <v>82220</v>
      </c>
      <c r="L431" s="57">
        <v>5</v>
      </c>
      <c r="M431" s="58"/>
    </row>
    <row r="432" spans="1:13" x14ac:dyDescent="0.25">
      <c r="A432" s="42" t="s">
        <v>719</v>
      </c>
      <c r="B432" s="49" t="s">
        <v>251</v>
      </c>
      <c r="C432" s="42" t="s">
        <v>705</v>
      </c>
      <c r="D432" s="75">
        <v>711445298</v>
      </c>
      <c r="E432" s="76">
        <v>2528359862</v>
      </c>
      <c r="F432" s="42" t="s">
        <v>247</v>
      </c>
      <c r="G432" s="52">
        <v>41621</v>
      </c>
      <c r="H432" s="53" t="str">
        <f t="shared" si="12"/>
        <v>Dec</v>
      </c>
      <c r="I432" s="54">
        <f t="shared" ca="1" si="13"/>
        <v>2</v>
      </c>
      <c r="J432" s="55"/>
      <c r="K432" s="56">
        <v>101160</v>
      </c>
      <c r="L432" s="57">
        <v>1</v>
      </c>
      <c r="M432" s="58"/>
    </row>
    <row r="433" spans="1:13" x14ac:dyDescent="0.25">
      <c r="A433" s="42" t="s">
        <v>720</v>
      </c>
      <c r="B433" s="49" t="s">
        <v>280</v>
      </c>
      <c r="C433" s="42" t="s">
        <v>705</v>
      </c>
      <c r="D433" s="75">
        <v>291803431</v>
      </c>
      <c r="E433" s="76">
        <v>2525866679</v>
      </c>
      <c r="F433" s="42" t="s">
        <v>247</v>
      </c>
      <c r="G433" s="52">
        <v>40784</v>
      </c>
      <c r="H433" s="53" t="str">
        <f t="shared" si="12"/>
        <v>Aug</v>
      </c>
      <c r="I433" s="54">
        <f t="shared" ca="1" si="13"/>
        <v>5</v>
      </c>
      <c r="J433" s="55"/>
      <c r="K433" s="56">
        <v>64800</v>
      </c>
      <c r="L433" s="57">
        <v>3</v>
      </c>
      <c r="M433" s="58"/>
    </row>
    <row r="434" spans="1:13" x14ac:dyDescent="0.25">
      <c r="A434" s="42" t="s">
        <v>721</v>
      </c>
      <c r="B434" s="49" t="s">
        <v>251</v>
      </c>
      <c r="C434" s="42" t="s">
        <v>705</v>
      </c>
      <c r="D434" s="75">
        <v>120479503</v>
      </c>
      <c r="E434" s="76">
        <v>9196069116</v>
      </c>
      <c r="F434" s="42" t="s">
        <v>261</v>
      </c>
      <c r="G434" s="52">
        <v>40300</v>
      </c>
      <c r="H434" s="53" t="str">
        <f t="shared" si="12"/>
        <v>May</v>
      </c>
      <c r="I434" s="54">
        <f t="shared" ca="1" si="13"/>
        <v>6</v>
      </c>
      <c r="J434" s="55" t="s">
        <v>276</v>
      </c>
      <c r="K434" s="56">
        <v>57310</v>
      </c>
      <c r="L434" s="57">
        <v>3</v>
      </c>
      <c r="M434" s="58"/>
    </row>
    <row r="435" spans="1:13" x14ac:dyDescent="0.25">
      <c r="A435" s="42" t="s">
        <v>722</v>
      </c>
      <c r="B435" s="49" t="s">
        <v>285</v>
      </c>
      <c r="C435" s="42" t="s">
        <v>705</v>
      </c>
      <c r="D435" s="75">
        <v>555718765</v>
      </c>
      <c r="E435" s="76">
        <v>2524618773</v>
      </c>
      <c r="F435" s="42" t="s">
        <v>256</v>
      </c>
      <c r="G435" s="52">
        <v>35738</v>
      </c>
      <c r="H435" s="53" t="str">
        <f t="shared" si="12"/>
        <v>Nov</v>
      </c>
      <c r="I435" s="54">
        <f t="shared" ca="1" si="13"/>
        <v>19</v>
      </c>
      <c r="J435" s="55" t="s">
        <v>257</v>
      </c>
      <c r="K435" s="56">
        <v>106620</v>
      </c>
      <c r="L435" s="57">
        <v>3</v>
      </c>
      <c r="M435" s="58"/>
    </row>
    <row r="436" spans="1:13" x14ac:dyDescent="0.25">
      <c r="A436" s="42" t="s">
        <v>723</v>
      </c>
      <c r="B436" s="49" t="s">
        <v>285</v>
      </c>
      <c r="C436" s="42" t="s">
        <v>705</v>
      </c>
      <c r="D436" s="75">
        <v>619465100</v>
      </c>
      <c r="E436" s="76">
        <v>9194629606</v>
      </c>
      <c r="F436" s="42" t="s">
        <v>256</v>
      </c>
      <c r="G436" s="52">
        <v>39917</v>
      </c>
      <c r="H436" s="53" t="str">
        <f t="shared" si="12"/>
        <v>Apr</v>
      </c>
      <c r="I436" s="54">
        <f t="shared" ca="1" si="13"/>
        <v>7</v>
      </c>
      <c r="J436" s="55" t="s">
        <v>262</v>
      </c>
      <c r="K436" s="56">
        <v>33070</v>
      </c>
      <c r="L436" s="57">
        <v>2</v>
      </c>
      <c r="M436" s="58"/>
    </row>
    <row r="437" spans="1:13" x14ac:dyDescent="0.25">
      <c r="A437" s="42" t="s">
        <v>724</v>
      </c>
      <c r="B437" s="49" t="s">
        <v>271</v>
      </c>
      <c r="C437" s="42" t="s">
        <v>705</v>
      </c>
      <c r="D437" s="75">
        <v>816607187</v>
      </c>
      <c r="E437" s="76">
        <v>9195520461</v>
      </c>
      <c r="F437" s="42" t="s">
        <v>252</v>
      </c>
      <c r="G437" s="52">
        <v>41453</v>
      </c>
      <c r="H437" s="53" t="str">
        <f t="shared" si="12"/>
        <v>Jun</v>
      </c>
      <c r="I437" s="54">
        <f t="shared" ca="1" si="13"/>
        <v>3</v>
      </c>
      <c r="J437" s="55"/>
      <c r="K437" s="56">
        <v>11020</v>
      </c>
      <c r="L437" s="57">
        <v>3</v>
      </c>
      <c r="M437" s="58"/>
    </row>
    <row r="438" spans="1:13" x14ac:dyDescent="0.25">
      <c r="A438" s="42" t="s">
        <v>725</v>
      </c>
      <c r="B438" s="49" t="s">
        <v>285</v>
      </c>
      <c r="C438" s="42" t="s">
        <v>705</v>
      </c>
      <c r="D438" s="75">
        <v>959568761</v>
      </c>
      <c r="E438" s="76">
        <v>9194744493</v>
      </c>
      <c r="F438" s="42" t="s">
        <v>256</v>
      </c>
      <c r="G438" s="52">
        <v>34458</v>
      </c>
      <c r="H438" s="53" t="str">
        <f t="shared" si="12"/>
        <v>May</v>
      </c>
      <c r="I438" s="54">
        <f t="shared" ca="1" si="13"/>
        <v>22</v>
      </c>
      <c r="J438" s="55" t="s">
        <v>267</v>
      </c>
      <c r="K438" s="56">
        <v>73760</v>
      </c>
      <c r="L438" s="57">
        <v>5</v>
      </c>
      <c r="M438" s="58"/>
    </row>
    <row r="439" spans="1:13" x14ac:dyDescent="0.25">
      <c r="A439" s="42" t="s">
        <v>726</v>
      </c>
      <c r="B439" s="49" t="s">
        <v>285</v>
      </c>
      <c r="C439" s="42" t="s">
        <v>705</v>
      </c>
      <c r="D439" s="75">
        <v>145240921</v>
      </c>
      <c r="E439" s="76">
        <v>2525227751</v>
      </c>
      <c r="F439" s="42" t="s">
        <v>256</v>
      </c>
      <c r="G439" s="52">
        <v>40405</v>
      </c>
      <c r="H439" s="53" t="str">
        <f t="shared" si="12"/>
        <v>Aug</v>
      </c>
      <c r="I439" s="54">
        <f t="shared" ca="1" si="13"/>
        <v>6</v>
      </c>
      <c r="J439" s="55" t="s">
        <v>267</v>
      </c>
      <c r="K439" s="56">
        <v>61190</v>
      </c>
      <c r="L439" s="57">
        <v>4</v>
      </c>
      <c r="M439" s="58"/>
    </row>
    <row r="440" spans="1:13" x14ac:dyDescent="0.25">
      <c r="A440" s="42" t="s">
        <v>727</v>
      </c>
      <c r="B440" s="49" t="s">
        <v>271</v>
      </c>
      <c r="C440" s="42" t="s">
        <v>705</v>
      </c>
      <c r="D440" s="75">
        <v>803776506</v>
      </c>
      <c r="E440" s="76">
        <v>2526920236</v>
      </c>
      <c r="F440" s="42" t="s">
        <v>256</v>
      </c>
      <c r="G440" s="52">
        <v>36413</v>
      </c>
      <c r="H440" s="53" t="str">
        <f t="shared" si="12"/>
        <v>Sep</v>
      </c>
      <c r="I440" s="54">
        <f t="shared" ca="1" si="13"/>
        <v>17</v>
      </c>
      <c r="J440" s="55" t="s">
        <v>262</v>
      </c>
      <c r="K440" s="56">
        <v>93540</v>
      </c>
      <c r="L440" s="57">
        <v>4</v>
      </c>
      <c r="M440" s="58"/>
    </row>
    <row r="441" spans="1:13" x14ac:dyDescent="0.25">
      <c r="A441" s="42" t="s">
        <v>728</v>
      </c>
      <c r="B441" s="49" t="s">
        <v>266</v>
      </c>
      <c r="C441" s="42" t="s">
        <v>705</v>
      </c>
      <c r="D441" s="75">
        <v>297806507</v>
      </c>
      <c r="E441" s="76">
        <v>9197312659</v>
      </c>
      <c r="F441" s="42" t="s">
        <v>256</v>
      </c>
      <c r="G441" s="52">
        <v>35741</v>
      </c>
      <c r="H441" s="53" t="str">
        <f t="shared" si="12"/>
        <v>Nov</v>
      </c>
      <c r="I441" s="54">
        <f t="shared" ca="1" si="13"/>
        <v>19</v>
      </c>
      <c r="J441" s="55" t="s">
        <v>267</v>
      </c>
      <c r="K441" s="56">
        <v>93410</v>
      </c>
      <c r="L441" s="57">
        <v>2</v>
      </c>
      <c r="M441" s="58"/>
    </row>
    <row r="442" spans="1:13" x14ac:dyDescent="0.25">
      <c r="A442" s="42" t="s">
        <v>729</v>
      </c>
      <c r="B442" s="49" t="s">
        <v>245</v>
      </c>
      <c r="C442" s="42" t="s">
        <v>705</v>
      </c>
      <c r="D442" s="75">
        <v>847051774</v>
      </c>
      <c r="E442" s="76">
        <v>2522881600</v>
      </c>
      <c r="F442" s="42" t="s">
        <v>256</v>
      </c>
      <c r="G442" s="52">
        <v>40658</v>
      </c>
      <c r="H442" s="53" t="str">
        <f t="shared" si="12"/>
        <v>Apr</v>
      </c>
      <c r="I442" s="54">
        <f t="shared" ca="1" si="13"/>
        <v>5</v>
      </c>
      <c r="J442" s="55" t="s">
        <v>276</v>
      </c>
      <c r="K442" s="56">
        <v>97060</v>
      </c>
      <c r="L442" s="57">
        <v>1</v>
      </c>
      <c r="M442" s="58"/>
    </row>
    <row r="443" spans="1:13" x14ac:dyDescent="0.25">
      <c r="A443" s="42" t="s">
        <v>730</v>
      </c>
      <c r="B443" s="49" t="s">
        <v>271</v>
      </c>
      <c r="C443" s="42" t="s">
        <v>705</v>
      </c>
      <c r="D443" s="75">
        <v>931977751</v>
      </c>
      <c r="E443" s="76">
        <v>9194471952</v>
      </c>
      <c r="F443" s="42" t="s">
        <v>256</v>
      </c>
      <c r="G443" s="52">
        <v>35902</v>
      </c>
      <c r="H443" s="53" t="str">
        <f t="shared" si="12"/>
        <v>Apr</v>
      </c>
      <c r="I443" s="54">
        <f t="shared" ca="1" si="13"/>
        <v>18</v>
      </c>
      <c r="J443" s="55" t="s">
        <v>257</v>
      </c>
      <c r="K443" s="56">
        <v>31000</v>
      </c>
      <c r="L443" s="57">
        <v>5</v>
      </c>
      <c r="M443" s="58"/>
    </row>
    <row r="444" spans="1:13" x14ac:dyDescent="0.25">
      <c r="A444" s="42" t="s">
        <v>731</v>
      </c>
      <c r="B444" s="49" t="s">
        <v>285</v>
      </c>
      <c r="C444" s="42" t="s">
        <v>705</v>
      </c>
      <c r="D444" s="75">
        <v>489013842</v>
      </c>
      <c r="E444" s="76">
        <v>2521658481</v>
      </c>
      <c r="F444" s="42" t="s">
        <v>261</v>
      </c>
      <c r="G444" s="52">
        <v>37696</v>
      </c>
      <c r="H444" s="53" t="str">
        <f t="shared" si="12"/>
        <v>Mar</v>
      </c>
      <c r="I444" s="54">
        <f t="shared" ca="1" si="13"/>
        <v>13</v>
      </c>
      <c r="J444" s="55" t="s">
        <v>283</v>
      </c>
      <c r="K444" s="56">
        <v>34810</v>
      </c>
      <c r="L444" s="57">
        <v>1</v>
      </c>
      <c r="M444" s="58"/>
    </row>
    <row r="445" spans="1:13" x14ac:dyDescent="0.25">
      <c r="A445" s="42" t="s">
        <v>732</v>
      </c>
      <c r="B445" s="49" t="s">
        <v>266</v>
      </c>
      <c r="C445" s="42" t="s">
        <v>705</v>
      </c>
      <c r="D445" s="75">
        <v>443238477</v>
      </c>
      <c r="E445" s="76">
        <v>9198624601</v>
      </c>
      <c r="F445" s="42" t="s">
        <v>256</v>
      </c>
      <c r="G445" s="52">
        <v>40679</v>
      </c>
      <c r="H445" s="53" t="str">
        <f t="shared" si="12"/>
        <v>May</v>
      </c>
      <c r="I445" s="54">
        <f t="shared" ca="1" si="13"/>
        <v>5</v>
      </c>
      <c r="J445" s="55" t="s">
        <v>283</v>
      </c>
      <c r="K445" s="56">
        <v>96110</v>
      </c>
      <c r="L445" s="57">
        <v>2</v>
      </c>
      <c r="M445" s="58"/>
    </row>
    <row r="446" spans="1:13" x14ac:dyDescent="0.25">
      <c r="A446" s="42" t="s">
        <v>733</v>
      </c>
      <c r="B446" s="49" t="s">
        <v>285</v>
      </c>
      <c r="C446" s="42" t="s">
        <v>705</v>
      </c>
      <c r="D446" s="75">
        <v>868128171</v>
      </c>
      <c r="E446" s="76">
        <v>2525048978</v>
      </c>
      <c r="F446" s="42" t="s">
        <v>256</v>
      </c>
      <c r="G446" s="52">
        <v>34879</v>
      </c>
      <c r="H446" s="53" t="str">
        <f t="shared" si="12"/>
        <v>Jun</v>
      </c>
      <c r="I446" s="54">
        <f t="shared" ca="1" si="13"/>
        <v>21</v>
      </c>
      <c r="J446" s="55" t="s">
        <v>276</v>
      </c>
      <c r="K446" s="56">
        <v>90440</v>
      </c>
      <c r="L446" s="57">
        <v>2</v>
      </c>
      <c r="M446" s="58"/>
    </row>
    <row r="447" spans="1:13" x14ac:dyDescent="0.25">
      <c r="A447" s="42" t="s">
        <v>734</v>
      </c>
      <c r="B447" s="49" t="s">
        <v>251</v>
      </c>
      <c r="C447" s="42" t="s">
        <v>705</v>
      </c>
      <c r="D447" s="75">
        <v>302854692</v>
      </c>
      <c r="E447" s="76">
        <v>2528651774</v>
      </c>
      <c r="F447" s="42" t="s">
        <v>261</v>
      </c>
      <c r="G447" s="52">
        <v>35618</v>
      </c>
      <c r="H447" s="53" t="str">
        <f t="shared" si="12"/>
        <v>Jul</v>
      </c>
      <c r="I447" s="54">
        <f t="shared" ca="1" si="13"/>
        <v>19</v>
      </c>
      <c r="J447" s="55" t="s">
        <v>257</v>
      </c>
      <c r="K447" s="56">
        <v>16120</v>
      </c>
      <c r="L447" s="57">
        <v>1</v>
      </c>
      <c r="M447" s="58"/>
    </row>
    <row r="448" spans="1:13" x14ac:dyDescent="0.25">
      <c r="A448" s="42" t="s">
        <v>735</v>
      </c>
      <c r="B448" s="49" t="s">
        <v>271</v>
      </c>
      <c r="C448" s="42" t="s">
        <v>705</v>
      </c>
      <c r="D448" s="75">
        <v>960967007</v>
      </c>
      <c r="E448" s="76">
        <v>9194694995</v>
      </c>
      <c r="F448" s="42" t="s">
        <v>247</v>
      </c>
      <c r="G448" s="52">
        <v>37624</v>
      </c>
      <c r="H448" s="53" t="str">
        <f t="shared" si="12"/>
        <v>Jan</v>
      </c>
      <c r="I448" s="54">
        <f t="shared" ca="1" si="13"/>
        <v>13</v>
      </c>
      <c r="J448" s="55"/>
      <c r="K448" s="56">
        <v>36360</v>
      </c>
      <c r="L448" s="57">
        <v>1</v>
      </c>
      <c r="M448" s="58"/>
    </row>
    <row r="449" spans="1:13" x14ac:dyDescent="0.25">
      <c r="A449" s="42" t="s">
        <v>736</v>
      </c>
      <c r="B449" s="49" t="s">
        <v>271</v>
      </c>
      <c r="C449" s="42" t="s">
        <v>705</v>
      </c>
      <c r="D449" s="75">
        <v>150132247</v>
      </c>
      <c r="E449" s="76">
        <v>9198561612</v>
      </c>
      <c r="F449" s="42" t="s">
        <v>256</v>
      </c>
      <c r="G449" s="52">
        <v>34882</v>
      </c>
      <c r="H449" s="53" t="str">
        <f t="shared" si="12"/>
        <v>Jul</v>
      </c>
      <c r="I449" s="54">
        <f t="shared" ca="1" si="13"/>
        <v>21</v>
      </c>
      <c r="J449" s="55" t="s">
        <v>276</v>
      </c>
      <c r="K449" s="56">
        <v>56290</v>
      </c>
      <c r="L449" s="57">
        <v>3</v>
      </c>
      <c r="M449" s="58"/>
    </row>
    <row r="450" spans="1:13" x14ac:dyDescent="0.25">
      <c r="A450" s="42" t="s">
        <v>737</v>
      </c>
      <c r="B450" s="49" t="s">
        <v>245</v>
      </c>
      <c r="C450" s="42" t="s">
        <v>705</v>
      </c>
      <c r="D450" s="75">
        <v>294130565</v>
      </c>
      <c r="E450" s="76">
        <v>9193744359</v>
      </c>
      <c r="F450" s="42" t="s">
        <v>256</v>
      </c>
      <c r="G450" s="52">
        <v>34637</v>
      </c>
      <c r="H450" s="53" t="str">
        <f t="shared" ref="H450:H513" si="14">CHOOSE(MONTH(G450),"Jan","Feb","Mar","Apr","May","Jun","Jul","Aug","Sep","Oct","Nov","Dec")</f>
        <v>Oct</v>
      </c>
      <c r="I450" s="54">
        <f t="shared" ref="I450:I513" ca="1" si="15">DATEDIF(G450,TODAY(),"Y")</f>
        <v>22</v>
      </c>
      <c r="J450" s="55" t="s">
        <v>257</v>
      </c>
      <c r="K450" s="56">
        <v>31630</v>
      </c>
      <c r="L450" s="57">
        <v>1</v>
      </c>
      <c r="M450" s="58"/>
    </row>
    <row r="451" spans="1:13" x14ac:dyDescent="0.25">
      <c r="A451" s="42" t="s">
        <v>738</v>
      </c>
      <c r="B451" s="49" t="s">
        <v>285</v>
      </c>
      <c r="C451" s="42" t="s">
        <v>705</v>
      </c>
      <c r="D451" s="75">
        <v>842774592</v>
      </c>
      <c r="E451" s="76">
        <v>2527345539</v>
      </c>
      <c r="F451" s="42" t="s">
        <v>252</v>
      </c>
      <c r="G451" s="52">
        <v>39145</v>
      </c>
      <c r="H451" s="53" t="str">
        <f t="shared" si="14"/>
        <v>Mar</v>
      </c>
      <c r="I451" s="54">
        <f t="shared" ca="1" si="15"/>
        <v>9</v>
      </c>
      <c r="J451" s="55"/>
      <c r="K451" s="56">
        <v>40210</v>
      </c>
      <c r="L451" s="57">
        <v>4</v>
      </c>
      <c r="M451" s="58"/>
    </row>
    <row r="452" spans="1:13" x14ac:dyDescent="0.25">
      <c r="A452" s="42" t="s">
        <v>739</v>
      </c>
      <c r="B452" s="49" t="s">
        <v>271</v>
      </c>
      <c r="C452" s="42" t="s">
        <v>705</v>
      </c>
      <c r="D452" s="75">
        <v>839899522</v>
      </c>
      <c r="E452" s="76">
        <v>9195512521</v>
      </c>
      <c r="F452" s="42" t="s">
        <v>256</v>
      </c>
      <c r="G452" s="52">
        <v>36970</v>
      </c>
      <c r="H452" s="53" t="str">
        <f t="shared" si="14"/>
        <v>Mar</v>
      </c>
      <c r="I452" s="54">
        <f t="shared" ca="1" si="15"/>
        <v>15</v>
      </c>
      <c r="J452" s="55" t="s">
        <v>257</v>
      </c>
      <c r="K452" s="56">
        <v>89440</v>
      </c>
      <c r="L452" s="57">
        <v>5</v>
      </c>
      <c r="M452" s="58"/>
    </row>
    <row r="453" spans="1:13" x14ac:dyDescent="0.25">
      <c r="A453" s="42" t="s">
        <v>740</v>
      </c>
      <c r="B453" s="49" t="s">
        <v>280</v>
      </c>
      <c r="C453" s="42" t="s">
        <v>705</v>
      </c>
      <c r="D453" s="75">
        <v>577239513</v>
      </c>
      <c r="E453" s="76">
        <v>9193199265</v>
      </c>
      <c r="F453" s="42" t="s">
        <v>256</v>
      </c>
      <c r="G453" s="52">
        <v>36134</v>
      </c>
      <c r="H453" s="53" t="str">
        <f t="shared" si="14"/>
        <v>Dec</v>
      </c>
      <c r="I453" s="54">
        <f t="shared" ca="1" si="15"/>
        <v>17</v>
      </c>
      <c r="J453" s="55" t="s">
        <v>283</v>
      </c>
      <c r="K453" s="56">
        <v>75700</v>
      </c>
      <c r="L453" s="57">
        <v>5</v>
      </c>
      <c r="M453" s="58"/>
    </row>
    <row r="454" spans="1:13" x14ac:dyDescent="0.25">
      <c r="A454" s="42" t="s">
        <v>741</v>
      </c>
      <c r="B454" s="49" t="s">
        <v>245</v>
      </c>
      <c r="C454" s="42" t="s">
        <v>705</v>
      </c>
      <c r="D454" s="75">
        <v>623823805</v>
      </c>
      <c r="E454" s="76">
        <v>9192602559</v>
      </c>
      <c r="F454" s="42" t="s">
        <v>252</v>
      </c>
      <c r="G454" s="52">
        <v>41404</v>
      </c>
      <c r="H454" s="53" t="str">
        <f t="shared" si="14"/>
        <v>May</v>
      </c>
      <c r="I454" s="54">
        <f t="shared" ca="1" si="15"/>
        <v>3</v>
      </c>
      <c r="J454" s="55"/>
      <c r="K454" s="56">
        <v>18070</v>
      </c>
      <c r="L454" s="57">
        <v>5</v>
      </c>
      <c r="M454" s="58"/>
    </row>
    <row r="455" spans="1:13" x14ac:dyDescent="0.25">
      <c r="A455" s="42" t="s">
        <v>742</v>
      </c>
      <c r="B455" s="49" t="s">
        <v>271</v>
      </c>
      <c r="C455" s="42" t="s">
        <v>705</v>
      </c>
      <c r="D455" s="75">
        <v>934447306</v>
      </c>
      <c r="E455" s="76">
        <v>2525981242</v>
      </c>
      <c r="F455" s="42" t="s">
        <v>256</v>
      </c>
      <c r="G455" s="52">
        <v>35112</v>
      </c>
      <c r="H455" s="53" t="str">
        <f t="shared" si="14"/>
        <v>Feb</v>
      </c>
      <c r="I455" s="54">
        <f t="shared" ca="1" si="15"/>
        <v>20</v>
      </c>
      <c r="J455" s="55" t="s">
        <v>283</v>
      </c>
      <c r="K455" s="56">
        <v>87640</v>
      </c>
      <c r="L455" s="57">
        <v>5</v>
      </c>
      <c r="M455" s="58"/>
    </row>
    <row r="456" spans="1:13" x14ac:dyDescent="0.25">
      <c r="A456" s="42" t="s">
        <v>743</v>
      </c>
      <c r="B456" s="49" t="s">
        <v>285</v>
      </c>
      <c r="C456" s="42" t="s">
        <v>705</v>
      </c>
      <c r="D456" s="75">
        <v>474117484</v>
      </c>
      <c r="E456" s="76">
        <v>9196132408</v>
      </c>
      <c r="F456" s="42" t="s">
        <v>256</v>
      </c>
      <c r="G456" s="52">
        <v>34643</v>
      </c>
      <c r="H456" s="53" t="str">
        <f t="shared" si="14"/>
        <v>Nov</v>
      </c>
      <c r="I456" s="54">
        <f t="shared" ca="1" si="15"/>
        <v>22</v>
      </c>
      <c r="J456" s="55" t="s">
        <v>257</v>
      </c>
      <c r="K456" s="56">
        <v>95720</v>
      </c>
      <c r="L456" s="57">
        <v>4</v>
      </c>
      <c r="M456" s="58"/>
    </row>
    <row r="457" spans="1:13" x14ac:dyDescent="0.25">
      <c r="A457" s="42" t="s">
        <v>744</v>
      </c>
      <c r="B457" s="49" t="s">
        <v>285</v>
      </c>
      <c r="C457" s="42" t="s">
        <v>705</v>
      </c>
      <c r="D457" s="75">
        <v>881242432</v>
      </c>
      <c r="E457" s="76">
        <v>9193957018</v>
      </c>
      <c r="F457" s="42" t="s">
        <v>256</v>
      </c>
      <c r="G457" s="52">
        <v>34929</v>
      </c>
      <c r="H457" s="53" t="str">
        <f t="shared" si="14"/>
        <v>Aug</v>
      </c>
      <c r="I457" s="54">
        <f t="shared" ca="1" si="15"/>
        <v>21</v>
      </c>
      <c r="J457" s="55" t="s">
        <v>262</v>
      </c>
      <c r="K457" s="56">
        <v>81610</v>
      </c>
      <c r="L457" s="57">
        <v>1</v>
      </c>
      <c r="M457" s="58"/>
    </row>
    <row r="458" spans="1:13" x14ac:dyDescent="0.25">
      <c r="A458" s="42" t="s">
        <v>745</v>
      </c>
      <c r="B458" s="49" t="s">
        <v>251</v>
      </c>
      <c r="C458" s="42" t="s">
        <v>705</v>
      </c>
      <c r="D458" s="75">
        <v>719165738</v>
      </c>
      <c r="E458" s="76">
        <v>9195750692</v>
      </c>
      <c r="F458" s="42" t="s">
        <v>247</v>
      </c>
      <c r="G458" s="52">
        <v>41469</v>
      </c>
      <c r="H458" s="53" t="str">
        <f t="shared" si="14"/>
        <v>Jul</v>
      </c>
      <c r="I458" s="54">
        <f t="shared" ca="1" si="15"/>
        <v>3</v>
      </c>
      <c r="J458" s="55"/>
      <c r="K458" s="56">
        <v>47330</v>
      </c>
      <c r="L458" s="57">
        <v>4</v>
      </c>
      <c r="M458" s="58"/>
    </row>
    <row r="459" spans="1:13" x14ac:dyDescent="0.25">
      <c r="A459" s="42" t="s">
        <v>746</v>
      </c>
      <c r="B459" s="49" t="s">
        <v>285</v>
      </c>
      <c r="C459" s="42" t="s">
        <v>705</v>
      </c>
      <c r="D459" s="75">
        <v>210173249</v>
      </c>
      <c r="E459" s="76">
        <v>2525780571</v>
      </c>
      <c r="F459" s="42" t="s">
        <v>247</v>
      </c>
      <c r="G459" s="52">
        <v>34812</v>
      </c>
      <c r="H459" s="53" t="str">
        <f t="shared" si="14"/>
        <v>Apr</v>
      </c>
      <c r="I459" s="54">
        <f t="shared" ca="1" si="15"/>
        <v>21</v>
      </c>
      <c r="J459" s="55"/>
      <c r="K459" s="56">
        <v>39180</v>
      </c>
      <c r="L459" s="57">
        <v>1</v>
      </c>
      <c r="M459" s="58"/>
    </row>
    <row r="460" spans="1:13" x14ac:dyDescent="0.25">
      <c r="A460" s="42" t="s">
        <v>747</v>
      </c>
      <c r="B460" s="49" t="s">
        <v>271</v>
      </c>
      <c r="C460" s="42" t="s">
        <v>705</v>
      </c>
      <c r="D460" s="75">
        <v>617795992</v>
      </c>
      <c r="E460" s="76">
        <v>2526345909</v>
      </c>
      <c r="F460" s="42" t="s">
        <v>256</v>
      </c>
      <c r="G460" s="52">
        <v>34579</v>
      </c>
      <c r="H460" s="53" t="str">
        <f t="shared" si="14"/>
        <v>Sep</v>
      </c>
      <c r="I460" s="54">
        <f t="shared" ca="1" si="15"/>
        <v>22</v>
      </c>
      <c r="J460" s="55" t="s">
        <v>257</v>
      </c>
      <c r="K460" s="56">
        <v>52300</v>
      </c>
      <c r="L460" s="57">
        <v>5</v>
      </c>
      <c r="M460" s="58"/>
    </row>
    <row r="461" spans="1:13" x14ac:dyDescent="0.25">
      <c r="A461" s="42" t="s">
        <v>748</v>
      </c>
      <c r="B461" s="49" t="s">
        <v>285</v>
      </c>
      <c r="C461" s="42" t="s">
        <v>705</v>
      </c>
      <c r="D461" s="75">
        <v>824046378</v>
      </c>
      <c r="E461" s="76">
        <v>9196335284</v>
      </c>
      <c r="F461" s="42" t="s">
        <v>256</v>
      </c>
      <c r="G461" s="52">
        <v>36380</v>
      </c>
      <c r="H461" s="53" t="str">
        <f t="shared" si="14"/>
        <v>Aug</v>
      </c>
      <c r="I461" s="54">
        <f t="shared" ca="1" si="15"/>
        <v>17</v>
      </c>
      <c r="J461" s="55" t="s">
        <v>276</v>
      </c>
      <c r="K461" s="56">
        <v>80680</v>
      </c>
      <c r="L461" s="57">
        <v>4</v>
      </c>
      <c r="M461" s="58"/>
    </row>
    <row r="462" spans="1:13" x14ac:dyDescent="0.25">
      <c r="A462" s="42" t="s">
        <v>749</v>
      </c>
      <c r="B462" s="49" t="s">
        <v>266</v>
      </c>
      <c r="C462" s="42" t="s">
        <v>750</v>
      </c>
      <c r="D462" s="75">
        <v>834061135</v>
      </c>
      <c r="E462" s="76">
        <v>9198472270</v>
      </c>
      <c r="F462" s="42" t="s">
        <v>256</v>
      </c>
      <c r="G462" s="52">
        <v>34514</v>
      </c>
      <c r="H462" s="53" t="str">
        <f t="shared" si="14"/>
        <v>Jun</v>
      </c>
      <c r="I462" s="54">
        <f t="shared" ca="1" si="15"/>
        <v>22</v>
      </c>
      <c r="J462" s="55" t="s">
        <v>267</v>
      </c>
      <c r="K462" s="56">
        <v>53470</v>
      </c>
      <c r="L462" s="57">
        <v>2</v>
      </c>
      <c r="M462" s="58"/>
    </row>
    <row r="463" spans="1:13" x14ac:dyDescent="0.25">
      <c r="A463" s="42" t="s">
        <v>751</v>
      </c>
      <c r="B463" s="49" t="s">
        <v>285</v>
      </c>
      <c r="C463" s="42" t="s">
        <v>750</v>
      </c>
      <c r="D463" s="75">
        <v>198564686</v>
      </c>
      <c r="E463" s="81">
        <v>2523355100</v>
      </c>
      <c r="F463" s="42" t="s">
        <v>256</v>
      </c>
      <c r="G463" s="52">
        <v>34247</v>
      </c>
      <c r="H463" s="53" t="str">
        <f t="shared" si="14"/>
        <v>Oct</v>
      </c>
      <c r="I463" s="54">
        <f t="shared" ca="1" si="15"/>
        <v>23</v>
      </c>
      <c r="J463" s="55" t="s">
        <v>257</v>
      </c>
      <c r="K463" s="56">
        <v>86080</v>
      </c>
      <c r="L463" s="57">
        <v>1</v>
      </c>
      <c r="M463" s="58"/>
    </row>
    <row r="464" spans="1:13" x14ac:dyDescent="0.25">
      <c r="A464" s="42" t="s">
        <v>752</v>
      </c>
      <c r="B464" s="49" t="s">
        <v>271</v>
      </c>
      <c r="C464" s="42" t="s">
        <v>750</v>
      </c>
      <c r="D464" s="75">
        <v>763518183</v>
      </c>
      <c r="E464" s="76">
        <v>2522581491</v>
      </c>
      <c r="F464" s="42" t="s">
        <v>256</v>
      </c>
      <c r="G464" s="52">
        <v>34441</v>
      </c>
      <c r="H464" s="53" t="str">
        <f t="shared" si="14"/>
        <v>Apr</v>
      </c>
      <c r="I464" s="54">
        <f t="shared" ca="1" si="15"/>
        <v>22</v>
      </c>
      <c r="J464" s="55" t="s">
        <v>257</v>
      </c>
      <c r="K464" s="56">
        <v>83280</v>
      </c>
      <c r="L464" s="57">
        <v>5</v>
      </c>
      <c r="M464" s="58"/>
    </row>
    <row r="465" spans="1:13" x14ac:dyDescent="0.25">
      <c r="A465" s="42" t="s">
        <v>753</v>
      </c>
      <c r="B465" s="49" t="s">
        <v>285</v>
      </c>
      <c r="C465" s="42" t="s">
        <v>750</v>
      </c>
      <c r="D465" s="75">
        <v>285295419</v>
      </c>
      <c r="E465" s="76">
        <v>9197904981</v>
      </c>
      <c r="F465" s="42" t="s">
        <v>252</v>
      </c>
      <c r="G465" s="52">
        <v>34159</v>
      </c>
      <c r="H465" s="53" t="str">
        <f t="shared" si="14"/>
        <v>Jul</v>
      </c>
      <c r="I465" s="54">
        <f t="shared" ca="1" si="15"/>
        <v>23</v>
      </c>
      <c r="J465" s="55"/>
      <c r="K465" s="56">
        <v>39880</v>
      </c>
      <c r="L465" s="57">
        <v>4</v>
      </c>
      <c r="M465" s="58"/>
    </row>
    <row r="466" spans="1:13" x14ac:dyDescent="0.25">
      <c r="A466" s="42" t="s">
        <v>754</v>
      </c>
      <c r="B466" s="49" t="s">
        <v>285</v>
      </c>
      <c r="C466" s="42" t="s">
        <v>750</v>
      </c>
      <c r="D466" s="75">
        <v>852430023</v>
      </c>
      <c r="E466" s="76">
        <v>9195506190</v>
      </c>
      <c r="F466" s="42" t="s">
        <v>261</v>
      </c>
      <c r="G466" s="52">
        <v>34113</v>
      </c>
      <c r="H466" s="53" t="str">
        <f t="shared" si="14"/>
        <v>May</v>
      </c>
      <c r="I466" s="54">
        <f t="shared" ca="1" si="15"/>
        <v>23</v>
      </c>
      <c r="J466" s="55" t="s">
        <v>267</v>
      </c>
      <c r="K466" s="56">
        <v>29780</v>
      </c>
      <c r="L466" s="57">
        <v>1</v>
      </c>
      <c r="M466" s="58"/>
    </row>
    <row r="467" spans="1:13" x14ac:dyDescent="0.25">
      <c r="A467" s="42" t="s">
        <v>755</v>
      </c>
      <c r="B467" s="49" t="s">
        <v>285</v>
      </c>
      <c r="C467" s="42" t="s">
        <v>750</v>
      </c>
      <c r="D467" s="75">
        <v>174483231</v>
      </c>
      <c r="E467" s="76">
        <v>9196733291</v>
      </c>
      <c r="F467" s="42" t="s">
        <v>256</v>
      </c>
      <c r="G467" s="52">
        <v>34187</v>
      </c>
      <c r="H467" s="53" t="str">
        <f t="shared" si="14"/>
        <v>Aug</v>
      </c>
      <c r="I467" s="54">
        <f t="shared" ca="1" si="15"/>
        <v>23</v>
      </c>
      <c r="J467" s="55" t="s">
        <v>257</v>
      </c>
      <c r="K467" s="56">
        <v>49130</v>
      </c>
      <c r="L467" s="57">
        <v>3</v>
      </c>
      <c r="M467" s="58"/>
    </row>
    <row r="468" spans="1:13" x14ac:dyDescent="0.25">
      <c r="A468" s="42" t="s">
        <v>756</v>
      </c>
      <c r="B468" s="49" t="s">
        <v>271</v>
      </c>
      <c r="C468" s="42" t="s">
        <v>750</v>
      </c>
      <c r="D468" s="75">
        <v>444159297</v>
      </c>
      <c r="E468" s="76">
        <v>2522456406</v>
      </c>
      <c r="F468" s="42" t="s">
        <v>256</v>
      </c>
      <c r="G468" s="52">
        <v>34537</v>
      </c>
      <c r="H468" s="53" t="str">
        <f t="shared" si="14"/>
        <v>Jul</v>
      </c>
      <c r="I468" s="54">
        <f t="shared" ca="1" si="15"/>
        <v>22</v>
      </c>
      <c r="J468" s="55" t="s">
        <v>257</v>
      </c>
      <c r="K468" s="56">
        <v>97840</v>
      </c>
      <c r="L468" s="57">
        <v>5</v>
      </c>
      <c r="M468" s="58"/>
    </row>
    <row r="469" spans="1:13" x14ac:dyDescent="0.25">
      <c r="A469" s="42" t="s">
        <v>757</v>
      </c>
      <c r="B469" s="49" t="s">
        <v>285</v>
      </c>
      <c r="C469" s="42" t="s">
        <v>750</v>
      </c>
      <c r="D469" s="75">
        <v>292693795</v>
      </c>
      <c r="E469" s="76">
        <v>9195990139</v>
      </c>
      <c r="F469" s="42" t="s">
        <v>256</v>
      </c>
      <c r="G469" s="52">
        <v>34281</v>
      </c>
      <c r="H469" s="53" t="str">
        <f t="shared" si="14"/>
        <v>Nov</v>
      </c>
      <c r="I469" s="54">
        <f t="shared" ca="1" si="15"/>
        <v>23</v>
      </c>
      <c r="J469" s="55" t="s">
        <v>257</v>
      </c>
      <c r="K469" s="56">
        <v>105540</v>
      </c>
      <c r="L469" s="57">
        <v>4</v>
      </c>
      <c r="M469" s="58"/>
    </row>
    <row r="470" spans="1:13" x14ac:dyDescent="0.25">
      <c r="A470" s="42" t="s">
        <v>758</v>
      </c>
      <c r="B470" s="49" t="s">
        <v>245</v>
      </c>
      <c r="C470" s="42" t="s">
        <v>750</v>
      </c>
      <c r="D470" s="75">
        <v>360904659</v>
      </c>
      <c r="E470" s="76">
        <v>2523766803</v>
      </c>
      <c r="F470" s="42" t="s">
        <v>256</v>
      </c>
      <c r="G470" s="52">
        <v>34589</v>
      </c>
      <c r="H470" s="53" t="str">
        <f t="shared" si="14"/>
        <v>Sep</v>
      </c>
      <c r="I470" s="54">
        <f t="shared" ca="1" si="15"/>
        <v>22</v>
      </c>
      <c r="J470" s="55" t="s">
        <v>283</v>
      </c>
      <c r="K470" s="56">
        <v>53540</v>
      </c>
      <c r="L470" s="57">
        <v>5</v>
      </c>
      <c r="M470" s="58"/>
    </row>
    <row r="471" spans="1:13" x14ac:dyDescent="0.25">
      <c r="A471" s="42" t="s">
        <v>759</v>
      </c>
      <c r="B471" s="49" t="s">
        <v>271</v>
      </c>
      <c r="C471" s="42" t="s">
        <v>750</v>
      </c>
      <c r="D471" s="75">
        <v>967826310</v>
      </c>
      <c r="E471" s="76">
        <v>9196100410</v>
      </c>
      <c r="F471" s="42" t="s">
        <v>256</v>
      </c>
      <c r="G471" s="52">
        <v>34321</v>
      </c>
      <c r="H471" s="53" t="str">
        <f t="shared" si="14"/>
        <v>Dec</v>
      </c>
      <c r="I471" s="54">
        <f t="shared" ca="1" si="15"/>
        <v>22</v>
      </c>
      <c r="J471" s="55" t="s">
        <v>276</v>
      </c>
      <c r="K471" s="56">
        <v>42380</v>
      </c>
      <c r="L471" s="57">
        <v>3</v>
      </c>
      <c r="M471" s="58"/>
    </row>
    <row r="472" spans="1:13" x14ac:dyDescent="0.25">
      <c r="A472" s="42" t="s">
        <v>760</v>
      </c>
      <c r="B472" s="49" t="s">
        <v>266</v>
      </c>
      <c r="C472" s="42" t="s">
        <v>750</v>
      </c>
      <c r="D472" s="75">
        <v>710460589</v>
      </c>
      <c r="E472" s="76">
        <v>2526104400</v>
      </c>
      <c r="F472" s="42" t="s">
        <v>256</v>
      </c>
      <c r="G472" s="52">
        <v>34180</v>
      </c>
      <c r="H472" s="53" t="str">
        <f t="shared" si="14"/>
        <v>Jul</v>
      </c>
      <c r="I472" s="54">
        <f t="shared" ca="1" si="15"/>
        <v>23</v>
      </c>
      <c r="J472" s="55" t="s">
        <v>283</v>
      </c>
      <c r="K472" s="56">
        <v>51730</v>
      </c>
      <c r="L472" s="57">
        <v>2</v>
      </c>
      <c r="M472" s="58"/>
    </row>
    <row r="473" spans="1:13" x14ac:dyDescent="0.25">
      <c r="A473" s="42" t="s">
        <v>761</v>
      </c>
      <c r="B473" s="49" t="s">
        <v>285</v>
      </c>
      <c r="C473" s="42" t="s">
        <v>750</v>
      </c>
      <c r="D473" s="75">
        <v>219740602</v>
      </c>
      <c r="E473" s="76">
        <v>9197429525</v>
      </c>
      <c r="F473" s="42" t="s">
        <v>261</v>
      </c>
      <c r="G473" s="52">
        <v>34350</v>
      </c>
      <c r="H473" s="53" t="str">
        <f t="shared" si="14"/>
        <v>Jan</v>
      </c>
      <c r="I473" s="54">
        <f t="shared" ca="1" si="15"/>
        <v>22</v>
      </c>
      <c r="J473" s="55" t="s">
        <v>276</v>
      </c>
      <c r="K473" s="56">
        <v>19220</v>
      </c>
      <c r="L473" s="57">
        <v>3</v>
      </c>
      <c r="M473" s="58"/>
    </row>
    <row r="474" spans="1:13" x14ac:dyDescent="0.25">
      <c r="A474" s="42" t="s">
        <v>762</v>
      </c>
      <c r="B474" s="49" t="s">
        <v>271</v>
      </c>
      <c r="C474" s="42" t="s">
        <v>750</v>
      </c>
      <c r="D474" s="75">
        <v>134557291</v>
      </c>
      <c r="E474" s="76">
        <v>2525536623</v>
      </c>
      <c r="F474" s="42" t="s">
        <v>256</v>
      </c>
      <c r="G474" s="52">
        <v>34114</v>
      </c>
      <c r="H474" s="53" t="str">
        <f t="shared" si="14"/>
        <v>May</v>
      </c>
      <c r="I474" s="54">
        <f t="shared" ca="1" si="15"/>
        <v>23</v>
      </c>
      <c r="J474" s="55" t="s">
        <v>257</v>
      </c>
      <c r="K474" s="56">
        <v>39120</v>
      </c>
      <c r="L474" s="57">
        <v>5</v>
      </c>
      <c r="M474" s="58"/>
    </row>
    <row r="475" spans="1:13" x14ac:dyDescent="0.25">
      <c r="A475" s="42" t="s">
        <v>763</v>
      </c>
      <c r="B475" s="49" t="s">
        <v>245</v>
      </c>
      <c r="C475" s="42" t="s">
        <v>750</v>
      </c>
      <c r="D475" s="75">
        <v>671360508</v>
      </c>
      <c r="E475" s="76">
        <v>2528385730</v>
      </c>
      <c r="F475" s="42" t="s">
        <v>261</v>
      </c>
      <c r="G475" s="52">
        <v>34161</v>
      </c>
      <c r="H475" s="53" t="str">
        <f t="shared" si="14"/>
        <v>Jul</v>
      </c>
      <c r="I475" s="54">
        <f t="shared" ca="1" si="15"/>
        <v>23</v>
      </c>
      <c r="J475" s="55" t="s">
        <v>262</v>
      </c>
      <c r="K475" s="56">
        <v>47540</v>
      </c>
      <c r="L475" s="57">
        <v>5</v>
      </c>
      <c r="M475" s="58"/>
    </row>
    <row r="476" spans="1:13" x14ac:dyDescent="0.25">
      <c r="A476" s="42" t="s">
        <v>764</v>
      </c>
      <c r="B476" s="49" t="s">
        <v>271</v>
      </c>
      <c r="C476" s="42" t="s">
        <v>750</v>
      </c>
      <c r="D476" s="75">
        <v>904790184</v>
      </c>
      <c r="E476" s="76">
        <v>9191876990</v>
      </c>
      <c r="F476" s="42" t="s">
        <v>256</v>
      </c>
      <c r="G476" s="52">
        <v>34461</v>
      </c>
      <c r="H476" s="53" t="str">
        <f t="shared" si="14"/>
        <v>May</v>
      </c>
      <c r="I476" s="54">
        <f t="shared" ca="1" si="15"/>
        <v>22</v>
      </c>
      <c r="J476" s="55" t="s">
        <v>283</v>
      </c>
      <c r="K476" s="56">
        <v>93260</v>
      </c>
      <c r="L476" s="57">
        <v>3</v>
      </c>
      <c r="M476" s="58"/>
    </row>
    <row r="477" spans="1:13" x14ac:dyDescent="0.25">
      <c r="A477" s="42" t="s">
        <v>765</v>
      </c>
      <c r="B477" s="49" t="s">
        <v>251</v>
      </c>
      <c r="C477" s="42" t="s">
        <v>750</v>
      </c>
      <c r="D477" s="75">
        <v>264960848</v>
      </c>
      <c r="E477" s="76">
        <v>9195012757</v>
      </c>
      <c r="F477" s="42" t="s">
        <v>247</v>
      </c>
      <c r="G477" s="52">
        <v>34287</v>
      </c>
      <c r="H477" s="53" t="str">
        <f t="shared" si="14"/>
        <v>Nov</v>
      </c>
      <c r="I477" s="54">
        <f t="shared" ca="1" si="15"/>
        <v>22</v>
      </c>
      <c r="J477" s="55"/>
      <c r="K477" s="56">
        <v>58880</v>
      </c>
      <c r="L477" s="57">
        <v>3</v>
      </c>
      <c r="M477" s="58"/>
    </row>
    <row r="478" spans="1:13" x14ac:dyDescent="0.25">
      <c r="A478" s="42" t="s">
        <v>766</v>
      </c>
      <c r="B478" s="49" t="s">
        <v>266</v>
      </c>
      <c r="C478" s="42" t="s">
        <v>767</v>
      </c>
      <c r="D478" s="75">
        <v>239847790</v>
      </c>
      <c r="E478" s="76">
        <v>2524045531</v>
      </c>
      <c r="F478" s="42" t="s">
        <v>247</v>
      </c>
      <c r="G478" s="52">
        <v>37376</v>
      </c>
      <c r="H478" s="53" t="str">
        <f t="shared" si="14"/>
        <v>Apr</v>
      </c>
      <c r="I478" s="54">
        <f t="shared" ca="1" si="15"/>
        <v>14</v>
      </c>
      <c r="J478" s="55"/>
      <c r="K478" s="56">
        <v>85560</v>
      </c>
      <c r="L478" s="57">
        <v>5</v>
      </c>
      <c r="M478" s="58"/>
    </row>
    <row r="479" spans="1:13" x14ac:dyDescent="0.25">
      <c r="A479" s="42" t="s">
        <v>768</v>
      </c>
      <c r="B479" s="49" t="s">
        <v>285</v>
      </c>
      <c r="C479" s="42" t="s">
        <v>767</v>
      </c>
      <c r="D479" s="75">
        <v>699386024</v>
      </c>
      <c r="E479" s="76">
        <v>2525842116</v>
      </c>
      <c r="F479" s="42" t="s">
        <v>252</v>
      </c>
      <c r="G479" s="52">
        <v>37029</v>
      </c>
      <c r="H479" s="53" t="str">
        <f t="shared" si="14"/>
        <v>May</v>
      </c>
      <c r="I479" s="54">
        <f t="shared" ca="1" si="15"/>
        <v>15</v>
      </c>
      <c r="J479" s="55"/>
      <c r="K479" s="56">
        <v>20030</v>
      </c>
      <c r="L479" s="57">
        <v>3</v>
      </c>
      <c r="M479" s="58"/>
    </row>
    <row r="480" spans="1:13" x14ac:dyDescent="0.25">
      <c r="A480" s="42" t="s">
        <v>769</v>
      </c>
      <c r="B480" s="49" t="s">
        <v>285</v>
      </c>
      <c r="C480" s="42" t="s">
        <v>767</v>
      </c>
      <c r="D480" s="75">
        <v>449987941</v>
      </c>
      <c r="E480" s="76">
        <v>2528742282</v>
      </c>
      <c r="F480" s="42" t="s">
        <v>256</v>
      </c>
      <c r="G480" s="52">
        <v>41478</v>
      </c>
      <c r="H480" s="53" t="str">
        <f t="shared" si="14"/>
        <v>Jul</v>
      </c>
      <c r="I480" s="54">
        <f t="shared" ca="1" si="15"/>
        <v>3</v>
      </c>
      <c r="J480" s="55" t="s">
        <v>267</v>
      </c>
      <c r="K480" s="56">
        <v>75850</v>
      </c>
      <c r="L480" s="57">
        <v>1</v>
      </c>
      <c r="M480" s="58"/>
    </row>
    <row r="481" spans="1:17" x14ac:dyDescent="0.25">
      <c r="A481" s="42" t="s">
        <v>770</v>
      </c>
      <c r="B481" s="49" t="s">
        <v>285</v>
      </c>
      <c r="C481" s="42" t="s">
        <v>767</v>
      </c>
      <c r="D481" s="75">
        <v>945160038</v>
      </c>
      <c r="E481" s="76">
        <v>2527909707</v>
      </c>
      <c r="F481" s="42" t="s">
        <v>256</v>
      </c>
      <c r="G481" s="52">
        <v>38702</v>
      </c>
      <c r="H481" s="53" t="str">
        <f t="shared" si="14"/>
        <v>Dec</v>
      </c>
      <c r="I481" s="54">
        <f t="shared" ca="1" si="15"/>
        <v>10</v>
      </c>
      <c r="J481" s="55" t="s">
        <v>262</v>
      </c>
      <c r="K481" s="56">
        <v>28270</v>
      </c>
      <c r="L481" s="57">
        <v>3</v>
      </c>
      <c r="M481" s="58"/>
    </row>
    <row r="482" spans="1:17" x14ac:dyDescent="0.25">
      <c r="A482" s="42" t="s">
        <v>771</v>
      </c>
      <c r="B482" s="49" t="s">
        <v>271</v>
      </c>
      <c r="C482" s="42" t="s">
        <v>767</v>
      </c>
      <c r="D482" s="75">
        <v>313358310</v>
      </c>
      <c r="E482" s="76">
        <v>9195442791</v>
      </c>
      <c r="F482" s="42" t="s">
        <v>256</v>
      </c>
      <c r="G482" s="52">
        <v>35223</v>
      </c>
      <c r="H482" s="53" t="str">
        <f t="shared" si="14"/>
        <v>Jun</v>
      </c>
      <c r="I482" s="54">
        <f t="shared" ca="1" si="15"/>
        <v>20</v>
      </c>
      <c r="J482" s="55" t="s">
        <v>257</v>
      </c>
      <c r="K482" s="56">
        <v>75230</v>
      </c>
      <c r="L482" s="57">
        <v>2</v>
      </c>
      <c r="M482" s="58"/>
    </row>
    <row r="483" spans="1:17" x14ac:dyDescent="0.25">
      <c r="A483" s="42" t="s">
        <v>772</v>
      </c>
      <c r="B483" s="49" t="s">
        <v>271</v>
      </c>
      <c r="C483" s="42" t="s">
        <v>767</v>
      </c>
      <c r="D483" s="75">
        <v>558903229</v>
      </c>
      <c r="E483" s="76">
        <v>9195699651</v>
      </c>
      <c r="F483" s="42" t="s">
        <v>256</v>
      </c>
      <c r="G483" s="52">
        <v>35062</v>
      </c>
      <c r="H483" s="53" t="str">
        <f t="shared" si="14"/>
        <v>Dec</v>
      </c>
      <c r="I483" s="54">
        <f t="shared" ca="1" si="15"/>
        <v>20</v>
      </c>
      <c r="J483" s="55" t="s">
        <v>257</v>
      </c>
      <c r="K483" s="56">
        <v>27980</v>
      </c>
      <c r="L483" s="57">
        <v>4</v>
      </c>
      <c r="M483" s="58"/>
    </row>
    <row r="484" spans="1:17" x14ac:dyDescent="0.25">
      <c r="A484" s="42" t="s">
        <v>773</v>
      </c>
      <c r="B484" s="49" t="s">
        <v>245</v>
      </c>
      <c r="C484" s="42" t="s">
        <v>767</v>
      </c>
      <c r="D484" s="75">
        <v>991221095</v>
      </c>
      <c r="E484" s="76">
        <v>9194630903</v>
      </c>
      <c r="F484" s="42" t="s">
        <v>256</v>
      </c>
      <c r="G484" s="52">
        <v>36152</v>
      </c>
      <c r="H484" s="53" t="str">
        <f t="shared" si="14"/>
        <v>Dec</v>
      </c>
      <c r="I484" s="54">
        <f t="shared" ca="1" si="15"/>
        <v>17</v>
      </c>
      <c r="J484" s="55" t="s">
        <v>276</v>
      </c>
      <c r="K484" s="56">
        <v>35710</v>
      </c>
      <c r="L484" s="57">
        <v>2</v>
      </c>
      <c r="M484" s="58"/>
    </row>
    <row r="485" spans="1:17" x14ac:dyDescent="0.25">
      <c r="A485" s="42" t="s">
        <v>774</v>
      </c>
      <c r="B485" s="49" t="s">
        <v>271</v>
      </c>
      <c r="C485" s="42" t="s">
        <v>767</v>
      </c>
      <c r="D485" s="75">
        <v>214291610</v>
      </c>
      <c r="E485" s="76">
        <v>2523858464</v>
      </c>
      <c r="F485" s="42" t="s">
        <v>256</v>
      </c>
      <c r="G485" s="52">
        <v>36220</v>
      </c>
      <c r="H485" s="53" t="str">
        <f t="shared" si="14"/>
        <v>Mar</v>
      </c>
      <c r="I485" s="54">
        <f t="shared" ca="1" si="15"/>
        <v>17</v>
      </c>
      <c r="J485" s="55" t="s">
        <v>257</v>
      </c>
      <c r="K485" s="56">
        <v>56810</v>
      </c>
      <c r="L485" s="57">
        <v>2</v>
      </c>
      <c r="M485" s="58"/>
    </row>
    <row r="486" spans="1:17" x14ac:dyDescent="0.25">
      <c r="A486" s="42" t="s">
        <v>775</v>
      </c>
      <c r="B486" s="49" t="s">
        <v>245</v>
      </c>
      <c r="C486" s="42" t="s">
        <v>767</v>
      </c>
      <c r="D486" s="75">
        <v>525699951</v>
      </c>
      <c r="E486" s="76">
        <v>9198400261</v>
      </c>
      <c r="F486" s="42" t="s">
        <v>252</v>
      </c>
      <c r="G486" s="52">
        <v>36947</v>
      </c>
      <c r="H486" s="53" t="str">
        <f t="shared" si="14"/>
        <v>Feb</v>
      </c>
      <c r="I486" s="54">
        <f t="shared" ca="1" si="15"/>
        <v>15</v>
      </c>
      <c r="J486" s="55"/>
      <c r="K486" s="56">
        <v>17200</v>
      </c>
      <c r="L486" s="57">
        <v>5</v>
      </c>
      <c r="M486" s="58"/>
    </row>
    <row r="487" spans="1:17" x14ac:dyDescent="0.25">
      <c r="A487" s="42" t="s">
        <v>776</v>
      </c>
      <c r="B487" s="49" t="s">
        <v>245</v>
      </c>
      <c r="C487" s="42" t="s">
        <v>767</v>
      </c>
      <c r="D487" s="75">
        <v>106686151</v>
      </c>
      <c r="E487" s="76">
        <v>2521246633</v>
      </c>
      <c r="F487" s="42" t="s">
        <v>247</v>
      </c>
      <c r="G487" s="52">
        <v>37087</v>
      </c>
      <c r="H487" s="53" t="str">
        <f t="shared" si="14"/>
        <v>Jul</v>
      </c>
      <c r="I487" s="54">
        <f t="shared" ca="1" si="15"/>
        <v>15</v>
      </c>
      <c r="J487" s="55"/>
      <c r="K487" s="56">
        <v>57020</v>
      </c>
      <c r="L487" s="57">
        <v>1</v>
      </c>
      <c r="M487" s="58"/>
    </row>
    <row r="488" spans="1:17" x14ac:dyDescent="0.25">
      <c r="A488" s="42" t="s">
        <v>777</v>
      </c>
      <c r="B488" s="49" t="s">
        <v>271</v>
      </c>
      <c r="C488" s="42" t="s">
        <v>767</v>
      </c>
      <c r="D488" s="75">
        <v>728567428</v>
      </c>
      <c r="E488" s="76">
        <v>2521957923</v>
      </c>
      <c r="F488" s="42" t="s">
        <v>256</v>
      </c>
      <c r="G488" s="52">
        <v>41625</v>
      </c>
      <c r="H488" s="53" t="str">
        <f t="shared" si="14"/>
        <v>Dec</v>
      </c>
      <c r="I488" s="54">
        <f t="shared" ca="1" si="15"/>
        <v>2</v>
      </c>
      <c r="J488" s="55" t="s">
        <v>276</v>
      </c>
      <c r="K488" s="56">
        <v>103800</v>
      </c>
      <c r="L488" s="57">
        <v>1</v>
      </c>
      <c r="M488" s="58"/>
    </row>
    <row r="489" spans="1:17" x14ac:dyDescent="0.25">
      <c r="A489" s="42" t="s">
        <v>778</v>
      </c>
      <c r="B489" s="49" t="s">
        <v>271</v>
      </c>
      <c r="C489" s="42" t="s">
        <v>767</v>
      </c>
      <c r="D489" s="75">
        <v>924942231</v>
      </c>
      <c r="E489" s="76">
        <v>9193279828</v>
      </c>
      <c r="F489" s="42" t="s">
        <v>261</v>
      </c>
      <c r="G489" s="52">
        <v>41167</v>
      </c>
      <c r="H489" s="53" t="str">
        <f t="shared" si="14"/>
        <v>Sep</v>
      </c>
      <c r="I489" s="54">
        <f t="shared" ca="1" si="15"/>
        <v>4</v>
      </c>
      <c r="J489" s="55" t="s">
        <v>276</v>
      </c>
      <c r="K489" s="56">
        <v>30290</v>
      </c>
      <c r="L489" s="57">
        <v>5</v>
      </c>
      <c r="M489" s="58"/>
      <c r="P489" s="78"/>
      <c r="Q489" s="78"/>
    </row>
    <row r="490" spans="1:17" x14ac:dyDescent="0.25">
      <c r="A490" s="42" t="s">
        <v>779</v>
      </c>
      <c r="B490" s="49" t="s">
        <v>285</v>
      </c>
      <c r="C490" s="42" t="s">
        <v>767</v>
      </c>
      <c r="D490" s="75">
        <v>967035612</v>
      </c>
      <c r="E490" s="76">
        <v>2528842613</v>
      </c>
      <c r="F490" s="42" t="s">
        <v>256</v>
      </c>
      <c r="G490" s="52">
        <v>35150</v>
      </c>
      <c r="H490" s="53" t="str">
        <f t="shared" si="14"/>
        <v>Mar</v>
      </c>
      <c r="I490" s="54">
        <f t="shared" ca="1" si="15"/>
        <v>20</v>
      </c>
      <c r="J490" s="55" t="s">
        <v>276</v>
      </c>
      <c r="K490" s="56">
        <v>76130</v>
      </c>
      <c r="L490" s="57">
        <v>3</v>
      </c>
      <c r="M490" s="58"/>
    </row>
    <row r="491" spans="1:17" x14ac:dyDescent="0.25">
      <c r="A491" s="42" t="s">
        <v>780</v>
      </c>
      <c r="B491" s="49" t="s">
        <v>285</v>
      </c>
      <c r="C491" s="42" t="s">
        <v>767</v>
      </c>
      <c r="D491" s="75">
        <v>938723321</v>
      </c>
      <c r="E491" s="76">
        <v>9196456972</v>
      </c>
      <c r="F491" s="42" t="s">
        <v>247</v>
      </c>
      <c r="G491" s="52">
        <v>37788</v>
      </c>
      <c r="H491" s="53" t="str">
        <f t="shared" si="14"/>
        <v>Jun</v>
      </c>
      <c r="I491" s="54">
        <f t="shared" ca="1" si="15"/>
        <v>13</v>
      </c>
      <c r="J491" s="55"/>
      <c r="K491" s="56">
        <v>107570</v>
      </c>
      <c r="L491" s="57">
        <v>4</v>
      </c>
      <c r="M491" s="58"/>
    </row>
    <row r="492" spans="1:17" x14ac:dyDescent="0.25">
      <c r="A492" s="42" t="s">
        <v>781</v>
      </c>
      <c r="B492" s="49" t="s">
        <v>245</v>
      </c>
      <c r="C492" s="42" t="s">
        <v>767</v>
      </c>
      <c r="D492" s="75">
        <v>502200672</v>
      </c>
      <c r="E492" s="76">
        <v>2527925201</v>
      </c>
      <c r="F492" s="42" t="s">
        <v>247</v>
      </c>
      <c r="G492" s="52">
        <v>41411</v>
      </c>
      <c r="H492" s="53" t="str">
        <f t="shared" si="14"/>
        <v>May</v>
      </c>
      <c r="I492" s="54">
        <f t="shared" ca="1" si="15"/>
        <v>3</v>
      </c>
      <c r="J492" s="55"/>
      <c r="K492" s="56">
        <v>69220</v>
      </c>
      <c r="L492" s="57">
        <v>4</v>
      </c>
      <c r="M492" s="58"/>
    </row>
    <row r="493" spans="1:17" x14ac:dyDescent="0.25">
      <c r="A493" s="42" t="s">
        <v>782</v>
      </c>
      <c r="B493" s="49" t="s">
        <v>271</v>
      </c>
      <c r="C493" s="42" t="s">
        <v>767</v>
      </c>
      <c r="D493" s="75">
        <v>978154935</v>
      </c>
      <c r="E493" s="76">
        <v>2521384592</v>
      </c>
      <c r="F493" s="42" t="s">
        <v>256</v>
      </c>
      <c r="G493" s="52">
        <v>37196</v>
      </c>
      <c r="H493" s="53" t="str">
        <f t="shared" si="14"/>
        <v>Nov</v>
      </c>
      <c r="I493" s="54">
        <f t="shared" ca="1" si="15"/>
        <v>15</v>
      </c>
      <c r="J493" s="55" t="s">
        <v>267</v>
      </c>
      <c r="K493" s="56">
        <v>55630</v>
      </c>
      <c r="L493" s="57">
        <v>5</v>
      </c>
      <c r="M493" s="58"/>
    </row>
    <row r="494" spans="1:17" x14ac:dyDescent="0.25">
      <c r="A494" s="42" t="s">
        <v>783</v>
      </c>
      <c r="B494" s="49" t="s">
        <v>251</v>
      </c>
      <c r="C494" s="42" t="s">
        <v>767</v>
      </c>
      <c r="D494" s="75">
        <v>698472533</v>
      </c>
      <c r="E494" s="76">
        <v>9192917217</v>
      </c>
      <c r="F494" s="42" t="s">
        <v>247</v>
      </c>
      <c r="G494" s="52">
        <v>36700</v>
      </c>
      <c r="H494" s="53" t="str">
        <f t="shared" si="14"/>
        <v>Jun</v>
      </c>
      <c r="I494" s="54">
        <f t="shared" ca="1" si="15"/>
        <v>16</v>
      </c>
      <c r="J494" s="55"/>
      <c r="K494" s="56">
        <v>43480</v>
      </c>
      <c r="L494" s="57">
        <v>2</v>
      </c>
      <c r="M494" s="58"/>
    </row>
    <row r="495" spans="1:17" x14ac:dyDescent="0.25">
      <c r="A495" s="42" t="s">
        <v>784</v>
      </c>
      <c r="B495" s="49" t="s">
        <v>285</v>
      </c>
      <c r="C495" s="42" t="s">
        <v>767</v>
      </c>
      <c r="D495" s="75">
        <v>349174221</v>
      </c>
      <c r="E495" s="76">
        <v>2521220758</v>
      </c>
      <c r="F495" s="42" t="s">
        <v>261</v>
      </c>
      <c r="G495" s="52">
        <v>37085</v>
      </c>
      <c r="H495" s="53" t="str">
        <f t="shared" si="14"/>
        <v>Jul</v>
      </c>
      <c r="I495" s="54">
        <f t="shared" ca="1" si="15"/>
        <v>15</v>
      </c>
      <c r="J495" s="55" t="s">
        <v>262</v>
      </c>
      <c r="K495" s="56">
        <v>54900</v>
      </c>
      <c r="L495" s="57">
        <v>5</v>
      </c>
      <c r="M495" s="58"/>
    </row>
    <row r="496" spans="1:17" x14ac:dyDescent="0.25">
      <c r="A496" s="42" t="s">
        <v>785</v>
      </c>
      <c r="B496" s="49" t="s">
        <v>245</v>
      </c>
      <c r="C496" s="42" t="s">
        <v>767</v>
      </c>
      <c r="D496" s="75">
        <v>151277827</v>
      </c>
      <c r="E496" s="76">
        <v>9197179128</v>
      </c>
      <c r="F496" s="42" t="s">
        <v>256</v>
      </c>
      <c r="G496" s="52">
        <v>40900</v>
      </c>
      <c r="H496" s="53" t="str">
        <f t="shared" si="14"/>
        <v>Dec</v>
      </c>
      <c r="I496" s="54">
        <f t="shared" ca="1" si="15"/>
        <v>4</v>
      </c>
      <c r="J496" s="55" t="s">
        <v>257</v>
      </c>
      <c r="K496" s="56">
        <v>29750</v>
      </c>
      <c r="L496" s="57">
        <v>3</v>
      </c>
      <c r="M496" s="58"/>
    </row>
    <row r="497" spans="1:17" x14ac:dyDescent="0.25">
      <c r="A497" s="42" t="s">
        <v>786</v>
      </c>
      <c r="B497" s="49" t="s">
        <v>285</v>
      </c>
      <c r="C497" s="42" t="s">
        <v>767</v>
      </c>
      <c r="D497" s="75">
        <v>963000861</v>
      </c>
      <c r="E497" s="76">
        <v>2522792063</v>
      </c>
      <c r="F497" s="42" t="s">
        <v>247</v>
      </c>
      <c r="G497" s="52">
        <v>36147</v>
      </c>
      <c r="H497" s="53" t="str">
        <f t="shared" si="14"/>
        <v>Dec</v>
      </c>
      <c r="I497" s="54">
        <f t="shared" ca="1" si="15"/>
        <v>17</v>
      </c>
      <c r="J497" s="55"/>
      <c r="K497" s="56">
        <v>87830</v>
      </c>
      <c r="L497" s="57">
        <v>1</v>
      </c>
      <c r="M497" s="58"/>
    </row>
    <row r="498" spans="1:17" x14ac:dyDescent="0.25">
      <c r="A498" s="42" t="s">
        <v>787</v>
      </c>
      <c r="B498" s="49" t="s">
        <v>271</v>
      </c>
      <c r="C498" s="42" t="s">
        <v>767</v>
      </c>
      <c r="D498" s="75">
        <v>209846975</v>
      </c>
      <c r="E498" s="76">
        <v>2522639452</v>
      </c>
      <c r="F498" s="42" t="s">
        <v>261</v>
      </c>
      <c r="G498" s="52">
        <v>38250</v>
      </c>
      <c r="H498" s="53" t="str">
        <f t="shared" si="14"/>
        <v>Sep</v>
      </c>
      <c r="I498" s="54">
        <f t="shared" ca="1" si="15"/>
        <v>12</v>
      </c>
      <c r="J498" s="55" t="s">
        <v>276</v>
      </c>
      <c r="K498" s="56">
        <v>15050</v>
      </c>
      <c r="L498" s="57">
        <v>4</v>
      </c>
      <c r="M498" s="58"/>
      <c r="P498" s="78"/>
      <c r="Q498" s="78"/>
    </row>
    <row r="499" spans="1:17" x14ac:dyDescent="0.25">
      <c r="A499" s="42" t="s">
        <v>788</v>
      </c>
      <c r="B499" s="49" t="s">
        <v>285</v>
      </c>
      <c r="C499" s="42" t="s">
        <v>767</v>
      </c>
      <c r="D499" s="75">
        <v>953109212</v>
      </c>
      <c r="E499" s="76">
        <v>9191664940</v>
      </c>
      <c r="F499" s="42" t="s">
        <v>256</v>
      </c>
      <c r="G499" s="52">
        <v>41439</v>
      </c>
      <c r="H499" s="53" t="str">
        <f t="shared" si="14"/>
        <v>Jun</v>
      </c>
      <c r="I499" s="54">
        <f t="shared" ca="1" si="15"/>
        <v>3</v>
      </c>
      <c r="J499" s="55" t="s">
        <v>267</v>
      </c>
      <c r="K499" s="56">
        <v>70980</v>
      </c>
      <c r="L499" s="57">
        <v>4</v>
      </c>
      <c r="M499" s="58"/>
    </row>
    <row r="500" spans="1:17" x14ac:dyDescent="0.25">
      <c r="A500" s="42" t="s">
        <v>789</v>
      </c>
      <c r="B500" s="49" t="s">
        <v>251</v>
      </c>
      <c r="C500" s="42" t="s">
        <v>767</v>
      </c>
      <c r="D500" s="75">
        <v>265323292</v>
      </c>
      <c r="E500" s="76">
        <v>2522939413</v>
      </c>
      <c r="F500" s="42" t="s">
        <v>256</v>
      </c>
      <c r="G500" s="52">
        <v>37137</v>
      </c>
      <c r="H500" s="53" t="str">
        <f t="shared" si="14"/>
        <v>Sep</v>
      </c>
      <c r="I500" s="54">
        <f t="shared" ca="1" si="15"/>
        <v>15</v>
      </c>
      <c r="J500" s="55" t="s">
        <v>283</v>
      </c>
      <c r="K500" s="56">
        <v>54000</v>
      </c>
      <c r="L500" s="57">
        <v>4</v>
      </c>
      <c r="M500" s="58"/>
    </row>
    <row r="501" spans="1:17" x14ac:dyDescent="0.25">
      <c r="A501" s="42" t="s">
        <v>790</v>
      </c>
      <c r="B501" s="49" t="s">
        <v>266</v>
      </c>
      <c r="C501" s="42" t="s">
        <v>767</v>
      </c>
      <c r="D501" s="75">
        <v>868364739</v>
      </c>
      <c r="E501" s="76">
        <v>9195255121</v>
      </c>
      <c r="F501" s="42" t="s">
        <v>261</v>
      </c>
      <c r="G501" s="52">
        <v>41294</v>
      </c>
      <c r="H501" s="53" t="str">
        <f t="shared" si="14"/>
        <v>Jan</v>
      </c>
      <c r="I501" s="54">
        <f t="shared" ca="1" si="15"/>
        <v>3</v>
      </c>
      <c r="J501" s="55" t="s">
        <v>257</v>
      </c>
      <c r="K501" s="56">
        <v>14170</v>
      </c>
      <c r="L501" s="57">
        <v>1</v>
      </c>
      <c r="M501" s="58"/>
    </row>
    <row r="502" spans="1:17" x14ac:dyDescent="0.25">
      <c r="A502" s="42" t="s">
        <v>791</v>
      </c>
      <c r="B502" s="49" t="s">
        <v>285</v>
      </c>
      <c r="C502" s="42" t="s">
        <v>767</v>
      </c>
      <c r="D502" s="75">
        <v>528258211</v>
      </c>
      <c r="E502" s="76">
        <v>9194727385</v>
      </c>
      <c r="F502" s="42" t="s">
        <v>256</v>
      </c>
      <c r="G502" s="52">
        <v>34129</v>
      </c>
      <c r="H502" s="53" t="str">
        <f t="shared" si="14"/>
        <v>Jun</v>
      </c>
      <c r="I502" s="54">
        <f t="shared" ca="1" si="15"/>
        <v>23</v>
      </c>
      <c r="J502" s="55" t="s">
        <v>267</v>
      </c>
      <c r="K502" s="56">
        <v>55330</v>
      </c>
      <c r="L502" s="57">
        <v>4</v>
      </c>
      <c r="M502" s="58"/>
    </row>
    <row r="503" spans="1:17" x14ac:dyDescent="0.25">
      <c r="A503" s="42" t="s">
        <v>792</v>
      </c>
      <c r="B503" s="49" t="s">
        <v>245</v>
      </c>
      <c r="C503" s="42" t="s">
        <v>767</v>
      </c>
      <c r="D503" s="75">
        <v>217968415</v>
      </c>
      <c r="E503" s="76">
        <v>2522814530</v>
      </c>
      <c r="F503" s="42" t="s">
        <v>256</v>
      </c>
      <c r="G503" s="52">
        <v>36822</v>
      </c>
      <c r="H503" s="53" t="str">
        <f t="shared" si="14"/>
        <v>Oct</v>
      </c>
      <c r="I503" s="54">
        <f t="shared" ca="1" si="15"/>
        <v>16</v>
      </c>
      <c r="J503" s="55" t="s">
        <v>267</v>
      </c>
      <c r="K503" s="56">
        <v>27440</v>
      </c>
      <c r="L503" s="57">
        <v>3</v>
      </c>
      <c r="M503" s="58"/>
    </row>
    <row r="504" spans="1:17" x14ac:dyDescent="0.25">
      <c r="A504" s="42" t="s">
        <v>793</v>
      </c>
      <c r="B504" s="49" t="s">
        <v>245</v>
      </c>
      <c r="C504" s="42" t="s">
        <v>767</v>
      </c>
      <c r="D504" s="75">
        <v>808012612</v>
      </c>
      <c r="E504" s="76">
        <v>9193717553</v>
      </c>
      <c r="F504" s="42" t="s">
        <v>247</v>
      </c>
      <c r="G504" s="52">
        <v>34659</v>
      </c>
      <c r="H504" s="53" t="str">
        <f t="shared" si="14"/>
        <v>Nov</v>
      </c>
      <c r="I504" s="54">
        <f t="shared" ca="1" si="15"/>
        <v>21</v>
      </c>
      <c r="J504" s="55"/>
      <c r="K504" s="56">
        <v>72660</v>
      </c>
      <c r="L504" s="57">
        <v>2</v>
      </c>
      <c r="M504" s="58"/>
    </row>
    <row r="505" spans="1:17" x14ac:dyDescent="0.25">
      <c r="A505" s="42" t="s">
        <v>794</v>
      </c>
      <c r="B505" s="49" t="s">
        <v>245</v>
      </c>
      <c r="C505" s="42" t="s">
        <v>767</v>
      </c>
      <c r="D505" s="75">
        <v>452255054</v>
      </c>
      <c r="E505" s="76">
        <v>9196114005</v>
      </c>
      <c r="F505" s="42" t="s">
        <v>247</v>
      </c>
      <c r="G505" s="52">
        <v>34579</v>
      </c>
      <c r="H505" s="53" t="str">
        <f t="shared" si="14"/>
        <v>Sep</v>
      </c>
      <c r="I505" s="54">
        <f t="shared" ca="1" si="15"/>
        <v>22</v>
      </c>
      <c r="J505" s="55"/>
      <c r="K505" s="56">
        <v>61010</v>
      </c>
      <c r="L505" s="57">
        <v>4</v>
      </c>
      <c r="M505" s="58"/>
    </row>
    <row r="506" spans="1:17" x14ac:dyDescent="0.25">
      <c r="A506" s="42" t="s">
        <v>795</v>
      </c>
      <c r="B506" s="49" t="s">
        <v>285</v>
      </c>
      <c r="C506" s="42" t="s">
        <v>767</v>
      </c>
      <c r="D506" s="75">
        <v>965916299</v>
      </c>
      <c r="E506" s="76">
        <v>9193552027</v>
      </c>
      <c r="F506" s="42" t="s">
        <v>256</v>
      </c>
      <c r="G506" s="52">
        <v>36694</v>
      </c>
      <c r="H506" s="53" t="str">
        <f t="shared" si="14"/>
        <v>Jun</v>
      </c>
      <c r="I506" s="54">
        <f t="shared" ca="1" si="15"/>
        <v>16</v>
      </c>
      <c r="J506" s="55" t="s">
        <v>262</v>
      </c>
      <c r="K506" s="56">
        <v>29210</v>
      </c>
      <c r="L506" s="57">
        <v>4</v>
      </c>
      <c r="M506" s="58"/>
    </row>
    <row r="507" spans="1:17" x14ac:dyDescent="0.25">
      <c r="A507" s="42" t="s">
        <v>796</v>
      </c>
      <c r="B507" s="49" t="s">
        <v>271</v>
      </c>
      <c r="C507" s="42" t="s">
        <v>767</v>
      </c>
      <c r="D507" s="75">
        <v>561530671</v>
      </c>
      <c r="E507" s="76">
        <v>9192999652</v>
      </c>
      <c r="F507" s="42" t="s">
        <v>256</v>
      </c>
      <c r="G507" s="52">
        <v>34511</v>
      </c>
      <c r="H507" s="53" t="str">
        <f t="shared" si="14"/>
        <v>Jun</v>
      </c>
      <c r="I507" s="54">
        <f t="shared" ca="1" si="15"/>
        <v>22</v>
      </c>
      <c r="J507" s="55" t="s">
        <v>262</v>
      </c>
      <c r="K507" s="56">
        <v>65400</v>
      </c>
      <c r="L507" s="57">
        <v>5</v>
      </c>
      <c r="M507" s="58"/>
    </row>
    <row r="508" spans="1:17" x14ac:dyDescent="0.25">
      <c r="A508" s="42" t="s">
        <v>797</v>
      </c>
      <c r="B508" s="49" t="s">
        <v>285</v>
      </c>
      <c r="C508" s="42" t="s">
        <v>767</v>
      </c>
      <c r="D508" s="75">
        <v>302170290</v>
      </c>
      <c r="E508" s="76">
        <v>9191971988</v>
      </c>
      <c r="F508" s="42" t="s">
        <v>256</v>
      </c>
      <c r="G508" s="52">
        <v>36529</v>
      </c>
      <c r="H508" s="53" t="str">
        <f t="shared" si="14"/>
        <v>Jan</v>
      </c>
      <c r="I508" s="54">
        <f t="shared" ca="1" si="15"/>
        <v>16</v>
      </c>
      <c r="J508" s="55" t="s">
        <v>257</v>
      </c>
      <c r="K508" s="56">
        <v>75920</v>
      </c>
      <c r="L508" s="57">
        <v>1</v>
      </c>
      <c r="M508" s="58"/>
    </row>
    <row r="509" spans="1:17" x14ac:dyDescent="0.25">
      <c r="A509" s="42" t="s">
        <v>798</v>
      </c>
      <c r="B509" s="49" t="s">
        <v>245</v>
      </c>
      <c r="C509" s="42" t="s">
        <v>767</v>
      </c>
      <c r="D509" s="75">
        <v>643979374</v>
      </c>
      <c r="E509" s="76">
        <v>2521230519</v>
      </c>
      <c r="F509" s="42" t="s">
        <v>247</v>
      </c>
      <c r="G509" s="52">
        <v>36542</v>
      </c>
      <c r="H509" s="53" t="str">
        <f t="shared" si="14"/>
        <v>Jan</v>
      </c>
      <c r="I509" s="54">
        <f t="shared" ca="1" si="15"/>
        <v>16</v>
      </c>
      <c r="J509" s="55"/>
      <c r="K509" s="56">
        <v>59440</v>
      </c>
      <c r="L509" s="57">
        <v>4</v>
      </c>
      <c r="M509" s="58"/>
    </row>
    <row r="510" spans="1:17" x14ac:dyDescent="0.25">
      <c r="A510" s="42" t="s">
        <v>799</v>
      </c>
      <c r="B510" s="49" t="s">
        <v>245</v>
      </c>
      <c r="C510" s="42" t="s">
        <v>767</v>
      </c>
      <c r="D510" s="75">
        <v>433314045</v>
      </c>
      <c r="E510" s="76">
        <v>2522543210</v>
      </c>
      <c r="F510" s="42" t="s">
        <v>247</v>
      </c>
      <c r="G510" s="52">
        <v>34639</v>
      </c>
      <c r="H510" s="53" t="str">
        <f t="shared" si="14"/>
        <v>Nov</v>
      </c>
      <c r="I510" s="54">
        <f t="shared" ca="1" si="15"/>
        <v>22</v>
      </c>
      <c r="J510" s="55"/>
      <c r="K510" s="56">
        <v>57110</v>
      </c>
      <c r="L510" s="57">
        <v>3</v>
      </c>
      <c r="M510" s="58"/>
    </row>
    <row r="511" spans="1:17" x14ac:dyDescent="0.25">
      <c r="A511" s="42" t="s">
        <v>800</v>
      </c>
      <c r="B511" s="49" t="s">
        <v>266</v>
      </c>
      <c r="C511" s="42" t="s">
        <v>767</v>
      </c>
      <c r="D511" s="75">
        <v>920265140</v>
      </c>
      <c r="E511" s="76">
        <v>2524078104</v>
      </c>
      <c r="F511" s="42" t="s">
        <v>256</v>
      </c>
      <c r="G511" s="52">
        <v>39791</v>
      </c>
      <c r="H511" s="53" t="str">
        <f t="shared" si="14"/>
        <v>Dec</v>
      </c>
      <c r="I511" s="54">
        <f t="shared" ca="1" si="15"/>
        <v>7</v>
      </c>
      <c r="J511" s="55" t="s">
        <v>262</v>
      </c>
      <c r="K511" s="56">
        <v>75230</v>
      </c>
      <c r="L511" s="57">
        <v>3</v>
      </c>
      <c r="M511" s="58"/>
    </row>
    <row r="512" spans="1:17" x14ac:dyDescent="0.25">
      <c r="A512" s="42" t="s">
        <v>801</v>
      </c>
      <c r="B512" s="49" t="s">
        <v>271</v>
      </c>
      <c r="C512" s="42" t="s">
        <v>767</v>
      </c>
      <c r="D512" s="75">
        <v>554029540</v>
      </c>
      <c r="E512" s="76">
        <v>2521544288</v>
      </c>
      <c r="F512" s="42" t="s">
        <v>247</v>
      </c>
      <c r="G512" s="52">
        <v>34235</v>
      </c>
      <c r="H512" s="53" t="str">
        <f t="shared" si="14"/>
        <v>Sep</v>
      </c>
      <c r="I512" s="54">
        <f t="shared" ca="1" si="15"/>
        <v>23</v>
      </c>
      <c r="J512" s="55"/>
      <c r="K512" s="56">
        <v>70380</v>
      </c>
      <c r="L512" s="57">
        <v>4</v>
      </c>
      <c r="M512" s="58"/>
    </row>
    <row r="513" spans="1:13" x14ac:dyDescent="0.25">
      <c r="A513" s="42" t="s">
        <v>802</v>
      </c>
      <c r="B513" s="49" t="s">
        <v>280</v>
      </c>
      <c r="C513" s="42" t="s">
        <v>767</v>
      </c>
      <c r="D513" s="75">
        <v>445693854</v>
      </c>
      <c r="E513" s="76">
        <v>9192891217</v>
      </c>
      <c r="F513" s="42" t="s">
        <v>247</v>
      </c>
      <c r="G513" s="52">
        <v>35916</v>
      </c>
      <c r="H513" s="53" t="str">
        <f t="shared" si="14"/>
        <v>May</v>
      </c>
      <c r="I513" s="54">
        <f t="shared" ca="1" si="15"/>
        <v>18</v>
      </c>
      <c r="J513" s="55"/>
      <c r="K513" s="56">
        <v>92240</v>
      </c>
      <c r="L513" s="57">
        <v>5</v>
      </c>
      <c r="M513" s="58"/>
    </row>
    <row r="514" spans="1:13" x14ac:dyDescent="0.25">
      <c r="A514" s="42" t="s">
        <v>803</v>
      </c>
      <c r="B514" s="49" t="s">
        <v>280</v>
      </c>
      <c r="C514" s="42" t="s">
        <v>767</v>
      </c>
      <c r="D514" s="75">
        <v>451159170</v>
      </c>
      <c r="E514" s="76">
        <v>2522604602</v>
      </c>
      <c r="F514" s="42" t="s">
        <v>261</v>
      </c>
      <c r="G514" s="52">
        <v>36827</v>
      </c>
      <c r="H514" s="53" t="str">
        <f t="shared" ref="H514:H577" si="16">CHOOSE(MONTH(G514),"Jan","Feb","Mar","Apr","May","Jun","Jul","Aug","Sep","Oct","Nov","Dec")</f>
        <v>Oct</v>
      </c>
      <c r="I514" s="54">
        <f t="shared" ref="I514:I577" ca="1" si="17">DATEDIF(G514,TODAY(),"Y")</f>
        <v>16</v>
      </c>
      <c r="J514" s="55" t="s">
        <v>257</v>
      </c>
      <c r="K514" s="56">
        <v>37450</v>
      </c>
      <c r="L514" s="57">
        <v>2</v>
      </c>
      <c r="M514" s="58"/>
    </row>
    <row r="515" spans="1:13" x14ac:dyDescent="0.25">
      <c r="A515" s="42" t="s">
        <v>804</v>
      </c>
      <c r="B515" s="49" t="s">
        <v>271</v>
      </c>
      <c r="C515" s="42" t="s">
        <v>767</v>
      </c>
      <c r="D515" s="75">
        <v>494754997</v>
      </c>
      <c r="E515" s="76">
        <v>9195617115</v>
      </c>
      <c r="F515" s="42" t="s">
        <v>247</v>
      </c>
      <c r="G515" s="52">
        <v>35727</v>
      </c>
      <c r="H515" s="53" t="str">
        <f t="shared" si="16"/>
        <v>Oct</v>
      </c>
      <c r="I515" s="54">
        <f t="shared" ca="1" si="17"/>
        <v>19</v>
      </c>
      <c r="J515" s="55"/>
      <c r="K515" s="56">
        <v>39740</v>
      </c>
      <c r="L515" s="57">
        <v>2</v>
      </c>
      <c r="M515" s="58"/>
    </row>
    <row r="516" spans="1:13" x14ac:dyDescent="0.25">
      <c r="A516" s="42" t="s">
        <v>805</v>
      </c>
      <c r="B516" s="49" t="s">
        <v>285</v>
      </c>
      <c r="C516" s="42" t="s">
        <v>767</v>
      </c>
      <c r="D516" s="75">
        <v>394876677</v>
      </c>
      <c r="E516" s="76">
        <v>2522551469</v>
      </c>
      <c r="F516" s="42" t="s">
        <v>256</v>
      </c>
      <c r="G516" s="52">
        <v>36617</v>
      </c>
      <c r="H516" s="53" t="str">
        <f t="shared" si="16"/>
        <v>Apr</v>
      </c>
      <c r="I516" s="54">
        <f t="shared" ca="1" si="17"/>
        <v>16</v>
      </c>
      <c r="J516" s="55" t="s">
        <v>283</v>
      </c>
      <c r="K516" s="56">
        <v>40870</v>
      </c>
      <c r="L516" s="57">
        <v>2</v>
      </c>
      <c r="M516" s="58"/>
    </row>
    <row r="517" spans="1:13" x14ac:dyDescent="0.25">
      <c r="A517" s="42" t="s">
        <v>806</v>
      </c>
      <c r="B517" s="49" t="s">
        <v>271</v>
      </c>
      <c r="C517" s="42" t="s">
        <v>767</v>
      </c>
      <c r="D517" s="75">
        <v>113252240</v>
      </c>
      <c r="E517" s="76">
        <v>2526712695</v>
      </c>
      <c r="F517" s="42" t="s">
        <v>256</v>
      </c>
      <c r="G517" s="52">
        <v>37537</v>
      </c>
      <c r="H517" s="53" t="str">
        <f t="shared" si="16"/>
        <v>Oct</v>
      </c>
      <c r="I517" s="54">
        <f t="shared" ca="1" si="17"/>
        <v>14</v>
      </c>
      <c r="J517" s="55" t="s">
        <v>257</v>
      </c>
      <c r="K517" s="56">
        <v>74880</v>
      </c>
      <c r="L517" s="57">
        <v>4</v>
      </c>
      <c r="M517" s="58"/>
    </row>
    <row r="518" spans="1:13" x14ac:dyDescent="0.25">
      <c r="A518" s="42" t="s">
        <v>807</v>
      </c>
      <c r="B518" s="49" t="s">
        <v>285</v>
      </c>
      <c r="C518" s="42" t="s">
        <v>767</v>
      </c>
      <c r="D518" s="75">
        <v>765512793</v>
      </c>
      <c r="E518" s="76">
        <v>9197686976</v>
      </c>
      <c r="F518" s="42" t="s">
        <v>256</v>
      </c>
      <c r="G518" s="52">
        <v>40865</v>
      </c>
      <c r="H518" s="53" t="str">
        <f t="shared" si="16"/>
        <v>Nov</v>
      </c>
      <c r="I518" s="54">
        <f t="shared" ca="1" si="17"/>
        <v>4</v>
      </c>
      <c r="J518" s="55" t="s">
        <v>257</v>
      </c>
      <c r="K518" s="56">
        <v>77180</v>
      </c>
      <c r="L518" s="57">
        <v>5</v>
      </c>
      <c r="M518" s="58"/>
    </row>
    <row r="519" spans="1:13" x14ac:dyDescent="0.25">
      <c r="A519" s="42" t="s">
        <v>808</v>
      </c>
      <c r="B519" s="49" t="s">
        <v>271</v>
      </c>
      <c r="C519" s="42" t="s">
        <v>767</v>
      </c>
      <c r="D519" s="75">
        <v>880747384</v>
      </c>
      <c r="E519" s="76">
        <v>9195220001</v>
      </c>
      <c r="F519" s="42" t="s">
        <v>256</v>
      </c>
      <c r="G519" s="52">
        <v>34527</v>
      </c>
      <c r="H519" s="53" t="str">
        <f t="shared" si="16"/>
        <v>Jul</v>
      </c>
      <c r="I519" s="54">
        <f t="shared" ca="1" si="17"/>
        <v>22</v>
      </c>
      <c r="J519" s="55" t="s">
        <v>267</v>
      </c>
      <c r="K519" s="56">
        <v>95280</v>
      </c>
      <c r="L519" s="57">
        <v>4</v>
      </c>
      <c r="M519" s="58"/>
    </row>
    <row r="520" spans="1:13" x14ac:dyDescent="0.25">
      <c r="A520" s="42" t="s">
        <v>809</v>
      </c>
      <c r="B520" s="49" t="s">
        <v>245</v>
      </c>
      <c r="C520" s="42" t="s">
        <v>767</v>
      </c>
      <c r="D520" s="75">
        <v>378882665</v>
      </c>
      <c r="E520" s="76">
        <v>2526079829</v>
      </c>
      <c r="F520" s="42" t="s">
        <v>261</v>
      </c>
      <c r="G520" s="52">
        <v>34672</v>
      </c>
      <c r="H520" s="53" t="str">
        <f t="shared" si="16"/>
        <v>Dec</v>
      </c>
      <c r="I520" s="54">
        <f t="shared" ca="1" si="17"/>
        <v>21</v>
      </c>
      <c r="J520" s="55" t="s">
        <v>257</v>
      </c>
      <c r="K520" s="56">
        <v>55660</v>
      </c>
      <c r="L520" s="57">
        <v>3</v>
      </c>
      <c r="M520" s="58"/>
    </row>
    <row r="521" spans="1:13" x14ac:dyDescent="0.25">
      <c r="A521" s="42" t="s">
        <v>810</v>
      </c>
      <c r="B521" s="49" t="s">
        <v>285</v>
      </c>
      <c r="C521" s="42" t="s">
        <v>767</v>
      </c>
      <c r="D521" s="75">
        <v>933883118</v>
      </c>
      <c r="E521" s="76">
        <v>2523294956</v>
      </c>
      <c r="F521" s="42" t="s">
        <v>247</v>
      </c>
      <c r="G521" s="52">
        <v>35659</v>
      </c>
      <c r="H521" s="53" t="str">
        <f t="shared" si="16"/>
        <v>Aug</v>
      </c>
      <c r="I521" s="54">
        <f t="shared" ca="1" si="17"/>
        <v>19</v>
      </c>
      <c r="J521" s="55"/>
      <c r="K521" s="56">
        <v>103180</v>
      </c>
      <c r="L521" s="57">
        <v>2</v>
      </c>
      <c r="M521" s="58"/>
    </row>
    <row r="522" spans="1:13" x14ac:dyDescent="0.25">
      <c r="A522" s="42" t="s">
        <v>811</v>
      </c>
      <c r="B522" s="49" t="s">
        <v>266</v>
      </c>
      <c r="C522" s="42" t="s">
        <v>767</v>
      </c>
      <c r="D522" s="75">
        <v>437460422</v>
      </c>
      <c r="E522" s="76">
        <v>2528439277</v>
      </c>
      <c r="F522" s="42" t="s">
        <v>261</v>
      </c>
      <c r="G522" s="52">
        <v>39724</v>
      </c>
      <c r="H522" s="53" t="str">
        <f t="shared" si="16"/>
        <v>Oct</v>
      </c>
      <c r="I522" s="54">
        <f t="shared" ca="1" si="17"/>
        <v>8</v>
      </c>
      <c r="J522" s="55" t="s">
        <v>283</v>
      </c>
      <c r="K522" s="56">
        <v>12760</v>
      </c>
      <c r="L522" s="57">
        <v>3</v>
      </c>
      <c r="M522" s="58"/>
    </row>
    <row r="523" spans="1:13" x14ac:dyDescent="0.25">
      <c r="A523" s="42" t="s">
        <v>812</v>
      </c>
      <c r="B523" s="49" t="s">
        <v>271</v>
      </c>
      <c r="C523" s="42" t="s">
        <v>767</v>
      </c>
      <c r="D523" s="75">
        <v>358017400</v>
      </c>
      <c r="E523" s="76">
        <v>2523265407</v>
      </c>
      <c r="F523" s="42" t="s">
        <v>252</v>
      </c>
      <c r="G523" s="52">
        <v>37381</v>
      </c>
      <c r="H523" s="53" t="str">
        <f t="shared" si="16"/>
        <v>May</v>
      </c>
      <c r="I523" s="54">
        <f t="shared" ca="1" si="17"/>
        <v>14</v>
      </c>
      <c r="J523" s="55"/>
      <c r="K523" s="56">
        <v>43260</v>
      </c>
      <c r="L523" s="57">
        <v>5</v>
      </c>
      <c r="M523" s="58"/>
    </row>
    <row r="524" spans="1:13" x14ac:dyDescent="0.25">
      <c r="A524" s="42" t="s">
        <v>813</v>
      </c>
      <c r="B524" s="49" t="s">
        <v>245</v>
      </c>
      <c r="C524" s="42" t="s">
        <v>767</v>
      </c>
      <c r="D524" s="75">
        <v>476243591</v>
      </c>
      <c r="E524" s="76">
        <v>9197188067</v>
      </c>
      <c r="F524" s="42" t="s">
        <v>256</v>
      </c>
      <c r="G524" s="52">
        <v>35990</v>
      </c>
      <c r="H524" s="53" t="str">
        <f t="shared" si="16"/>
        <v>Jul</v>
      </c>
      <c r="I524" s="54">
        <f t="shared" ca="1" si="17"/>
        <v>18</v>
      </c>
      <c r="J524" s="55" t="s">
        <v>257</v>
      </c>
      <c r="K524" s="56">
        <v>60680</v>
      </c>
      <c r="L524" s="57">
        <v>4</v>
      </c>
      <c r="M524" s="58"/>
    </row>
    <row r="525" spans="1:13" x14ac:dyDescent="0.25">
      <c r="A525" s="42" t="s">
        <v>814</v>
      </c>
      <c r="B525" s="49" t="s">
        <v>285</v>
      </c>
      <c r="C525" s="42" t="s">
        <v>767</v>
      </c>
      <c r="D525" s="75">
        <v>475671127</v>
      </c>
      <c r="E525" s="76">
        <v>9196650531</v>
      </c>
      <c r="F525" s="42" t="s">
        <v>256</v>
      </c>
      <c r="G525" s="52">
        <v>36959</v>
      </c>
      <c r="H525" s="53" t="str">
        <f t="shared" si="16"/>
        <v>Mar</v>
      </c>
      <c r="I525" s="54">
        <f t="shared" ca="1" si="17"/>
        <v>15</v>
      </c>
      <c r="J525" s="55" t="s">
        <v>283</v>
      </c>
      <c r="K525" s="56">
        <v>73700</v>
      </c>
      <c r="L525" s="57">
        <v>4</v>
      </c>
      <c r="M525" s="58"/>
    </row>
    <row r="526" spans="1:13" x14ac:dyDescent="0.25">
      <c r="A526" s="42" t="s">
        <v>815</v>
      </c>
      <c r="B526" s="49" t="s">
        <v>251</v>
      </c>
      <c r="C526" s="42" t="s">
        <v>767</v>
      </c>
      <c r="D526" s="75">
        <v>343185481</v>
      </c>
      <c r="E526" s="76">
        <v>9196446519</v>
      </c>
      <c r="F526" s="42" t="s">
        <v>256</v>
      </c>
      <c r="G526" s="52">
        <v>36919</v>
      </c>
      <c r="H526" s="53" t="str">
        <f t="shared" si="16"/>
        <v>Jan</v>
      </c>
      <c r="I526" s="54">
        <f t="shared" ca="1" si="17"/>
        <v>15</v>
      </c>
      <c r="J526" s="55" t="s">
        <v>262</v>
      </c>
      <c r="K526" s="56">
        <v>88490</v>
      </c>
      <c r="L526" s="57">
        <v>4</v>
      </c>
      <c r="M526" s="58"/>
    </row>
    <row r="527" spans="1:13" x14ac:dyDescent="0.25">
      <c r="A527" s="42" t="s">
        <v>816</v>
      </c>
      <c r="B527" s="49" t="s">
        <v>271</v>
      </c>
      <c r="C527" s="42" t="s">
        <v>767</v>
      </c>
      <c r="D527" s="75">
        <v>959750235</v>
      </c>
      <c r="E527" s="76">
        <v>2528488350</v>
      </c>
      <c r="F527" s="42" t="s">
        <v>256</v>
      </c>
      <c r="G527" s="52">
        <v>41138</v>
      </c>
      <c r="H527" s="53" t="str">
        <f t="shared" si="16"/>
        <v>Aug</v>
      </c>
      <c r="I527" s="54">
        <f t="shared" ca="1" si="17"/>
        <v>4</v>
      </c>
      <c r="J527" s="55" t="s">
        <v>257</v>
      </c>
      <c r="K527" s="56">
        <v>65030</v>
      </c>
      <c r="L527" s="57">
        <v>4</v>
      </c>
      <c r="M527" s="58"/>
    </row>
    <row r="528" spans="1:13" x14ac:dyDescent="0.25">
      <c r="A528" s="42" t="s">
        <v>817</v>
      </c>
      <c r="B528" s="49" t="s">
        <v>285</v>
      </c>
      <c r="C528" s="42" t="s">
        <v>767</v>
      </c>
      <c r="D528" s="75">
        <v>569882669</v>
      </c>
      <c r="E528" s="76">
        <v>2523122083</v>
      </c>
      <c r="F528" s="42" t="s">
        <v>256</v>
      </c>
      <c r="G528" s="52">
        <v>38569</v>
      </c>
      <c r="H528" s="53" t="str">
        <f t="shared" si="16"/>
        <v>Aug</v>
      </c>
      <c r="I528" s="54">
        <f t="shared" ca="1" si="17"/>
        <v>11</v>
      </c>
      <c r="J528" s="55" t="s">
        <v>262</v>
      </c>
      <c r="K528" s="56">
        <v>54120</v>
      </c>
      <c r="L528" s="57">
        <v>2</v>
      </c>
      <c r="M528" s="58"/>
    </row>
    <row r="529" spans="1:13" x14ac:dyDescent="0.25">
      <c r="A529" s="42" t="s">
        <v>818</v>
      </c>
      <c r="B529" s="49" t="s">
        <v>280</v>
      </c>
      <c r="C529" s="42" t="s">
        <v>767</v>
      </c>
      <c r="D529" s="75">
        <v>369210573</v>
      </c>
      <c r="E529" s="76">
        <v>2526555049</v>
      </c>
      <c r="F529" s="42" t="s">
        <v>261</v>
      </c>
      <c r="G529" s="52">
        <v>37218</v>
      </c>
      <c r="H529" s="53" t="str">
        <f t="shared" si="16"/>
        <v>Nov</v>
      </c>
      <c r="I529" s="54">
        <f t="shared" ca="1" si="17"/>
        <v>14</v>
      </c>
      <c r="J529" s="55" t="s">
        <v>283</v>
      </c>
      <c r="K529" s="56">
        <v>26970</v>
      </c>
      <c r="L529" s="57">
        <v>4</v>
      </c>
      <c r="M529" s="58"/>
    </row>
    <row r="530" spans="1:13" x14ac:dyDescent="0.25">
      <c r="A530" s="42" t="s">
        <v>819</v>
      </c>
      <c r="B530" s="49" t="s">
        <v>271</v>
      </c>
      <c r="C530" s="42" t="s">
        <v>767</v>
      </c>
      <c r="D530" s="75">
        <v>317193890</v>
      </c>
      <c r="E530" s="76">
        <v>9192350434</v>
      </c>
      <c r="F530" s="42" t="s">
        <v>256</v>
      </c>
      <c r="G530" s="52">
        <v>35170</v>
      </c>
      <c r="H530" s="53" t="str">
        <f t="shared" si="16"/>
        <v>Apr</v>
      </c>
      <c r="I530" s="54">
        <f t="shared" ca="1" si="17"/>
        <v>20</v>
      </c>
      <c r="J530" s="55" t="s">
        <v>267</v>
      </c>
      <c r="K530" s="56">
        <v>83300</v>
      </c>
      <c r="L530" s="57">
        <v>2</v>
      </c>
      <c r="M530" s="58"/>
    </row>
    <row r="531" spans="1:13" x14ac:dyDescent="0.25">
      <c r="A531" s="42" t="s">
        <v>820</v>
      </c>
      <c r="B531" s="49" t="s">
        <v>285</v>
      </c>
      <c r="C531" s="42" t="s">
        <v>767</v>
      </c>
      <c r="D531" s="75">
        <v>552528553</v>
      </c>
      <c r="E531" s="76">
        <v>9194310812</v>
      </c>
      <c r="F531" s="42" t="s">
        <v>252</v>
      </c>
      <c r="G531" s="52">
        <v>37341</v>
      </c>
      <c r="H531" s="53" t="str">
        <f t="shared" si="16"/>
        <v>Mar</v>
      </c>
      <c r="I531" s="54">
        <f t="shared" ca="1" si="17"/>
        <v>14</v>
      </c>
      <c r="J531" s="55"/>
      <c r="K531" s="56">
        <v>44420</v>
      </c>
      <c r="L531" s="57">
        <v>4</v>
      </c>
      <c r="M531" s="58"/>
    </row>
    <row r="532" spans="1:13" x14ac:dyDescent="0.25">
      <c r="A532" s="42" t="s">
        <v>821</v>
      </c>
      <c r="B532" s="49" t="s">
        <v>280</v>
      </c>
      <c r="C532" s="42" t="s">
        <v>767</v>
      </c>
      <c r="D532" s="75">
        <v>886332647</v>
      </c>
      <c r="E532" s="76">
        <v>2526698101</v>
      </c>
      <c r="F532" s="42" t="s">
        <v>256</v>
      </c>
      <c r="G532" s="52">
        <v>38849</v>
      </c>
      <c r="H532" s="53" t="str">
        <f t="shared" si="16"/>
        <v>May</v>
      </c>
      <c r="I532" s="54">
        <f t="shared" ca="1" si="17"/>
        <v>10</v>
      </c>
      <c r="J532" s="55" t="s">
        <v>262</v>
      </c>
      <c r="K532" s="56">
        <v>92290</v>
      </c>
      <c r="L532" s="57">
        <v>2</v>
      </c>
      <c r="M532" s="58"/>
    </row>
    <row r="533" spans="1:13" x14ac:dyDescent="0.25">
      <c r="A533" s="42" t="s">
        <v>822</v>
      </c>
      <c r="B533" s="49" t="s">
        <v>271</v>
      </c>
      <c r="C533" s="42" t="s">
        <v>767</v>
      </c>
      <c r="D533" s="75">
        <v>191359642</v>
      </c>
      <c r="E533" s="76">
        <v>2528687353</v>
      </c>
      <c r="F533" s="42" t="s">
        <v>256</v>
      </c>
      <c r="G533" s="52">
        <v>34362</v>
      </c>
      <c r="H533" s="53" t="str">
        <f t="shared" si="16"/>
        <v>Jan</v>
      </c>
      <c r="I533" s="54">
        <f t="shared" ca="1" si="17"/>
        <v>22</v>
      </c>
      <c r="J533" s="55" t="s">
        <v>257</v>
      </c>
      <c r="K533" s="56">
        <v>28910</v>
      </c>
      <c r="L533" s="57">
        <v>4</v>
      </c>
      <c r="M533" s="58"/>
    </row>
    <row r="534" spans="1:13" x14ac:dyDescent="0.25">
      <c r="A534" s="42" t="s">
        <v>823</v>
      </c>
      <c r="B534" s="49" t="s">
        <v>271</v>
      </c>
      <c r="C534" s="42" t="s">
        <v>767</v>
      </c>
      <c r="D534" s="75">
        <v>387131597</v>
      </c>
      <c r="E534" s="76">
        <v>9191963194</v>
      </c>
      <c r="F534" s="42" t="s">
        <v>247</v>
      </c>
      <c r="G534" s="52">
        <v>34516</v>
      </c>
      <c r="H534" s="53" t="str">
        <f t="shared" si="16"/>
        <v>Jul</v>
      </c>
      <c r="I534" s="54">
        <f t="shared" ca="1" si="17"/>
        <v>22</v>
      </c>
      <c r="J534" s="55"/>
      <c r="K534" s="56">
        <v>63300</v>
      </c>
      <c r="L534" s="57">
        <v>1</v>
      </c>
      <c r="M534" s="58"/>
    </row>
    <row r="535" spans="1:13" x14ac:dyDescent="0.25">
      <c r="A535" s="42" t="s">
        <v>824</v>
      </c>
      <c r="B535" s="49" t="s">
        <v>285</v>
      </c>
      <c r="C535" s="42" t="s">
        <v>767</v>
      </c>
      <c r="D535" s="75">
        <v>556327593</v>
      </c>
      <c r="E535" s="76">
        <v>2523324762</v>
      </c>
      <c r="F535" s="42" t="s">
        <v>247</v>
      </c>
      <c r="G535" s="52">
        <v>36302</v>
      </c>
      <c r="H535" s="53" t="str">
        <f t="shared" si="16"/>
        <v>May</v>
      </c>
      <c r="I535" s="54">
        <f t="shared" ca="1" si="17"/>
        <v>17</v>
      </c>
      <c r="J535" s="55"/>
      <c r="K535" s="56">
        <v>72080</v>
      </c>
      <c r="L535" s="57">
        <v>2</v>
      </c>
      <c r="M535" s="58"/>
    </row>
    <row r="536" spans="1:13" x14ac:dyDescent="0.25">
      <c r="A536" s="42" t="s">
        <v>825</v>
      </c>
      <c r="B536" s="49" t="s">
        <v>285</v>
      </c>
      <c r="C536" s="42" t="s">
        <v>767</v>
      </c>
      <c r="D536" s="75">
        <v>160662505</v>
      </c>
      <c r="E536" s="76">
        <v>2526427045</v>
      </c>
      <c r="F536" s="42" t="s">
        <v>247</v>
      </c>
      <c r="G536" s="52">
        <v>38527</v>
      </c>
      <c r="H536" s="53" t="str">
        <f t="shared" si="16"/>
        <v>Jun</v>
      </c>
      <c r="I536" s="54">
        <f t="shared" ca="1" si="17"/>
        <v>11</v>
      </c>
      <c r="J536" s="55"/>
      <c r="K536" s="56">
        <v>73900</v>
      </c>
      <c r="L536" s="57">
        <v>3</v>
      </c>
      <c r="M536" s="58"/>
    </row>
    <row r="537" spans="1:13" x14ac:dyDescent="0.25">
      <c r="A537" s="42" t="s">
        <v>826</v>
      </c>
      <c r="B537" s="49" t="s">
        <v>271</v>
      </c>
      <c r="C537" s="42" t="s">
        <v>767</v>
      </c>
      <c r="D537" s="75">
        <v>330879921</v>
      </c>
      <c r="E537" s="76">
        <v>9195691314</v>
      </c>
      <c r="F537" s="42" t="s">
        <v>256</v>
      </c>
      <c r="G537" s="52">
        <v>37089</v>
      </c>
      <c r="H537" s="53" t="str">
        <f t="shared" si="16"/>
        <v>Jul</v>
      </c>
      <c r="I537" s="54">
        <f t="shared" ca="1" si="17"/>
        <v>15</v>
      </c>
      <c r="J537" s="55" t="s">
        <v>267</v>
      </c>
      <c r="K537" s="56">
        <v>65500</v>
      </c>
      <c r="L537" s="57">
        <v>4</v>
      </c>
      <c r="M537" s="58"/>
    </row>
    <row r="538" spans="1:13" x14ac:dyDescent="0.25">
      <c r="A538" s="42" t="s">
        <v>827</v>
      </c>
      <c r="B538" s="49" t="s">
        <v>285</v>
      </c>
      <c r="C538" s="42" t="s">
        <v>767</v>
      </c>
      <c r="D538" s="75">
        <v>468234190</v>
      </c>
      <c r="E538" s="76">
        <v>2521569304</v>
      </c>
      <c r="F538" s="42" t="s">
        <v>256</v>
      </c>
      <c r="G538" s="52">
        <v>36170</v>
      </c>
      <c r="H538" s="53" t="str">
        <f t="shared" si="16"/>
        <v>Jan</v>
      </c>
      <c r="I538" s="54">
        <f t="shared" ca="1" si="17"/>
        <v>17</v>
      </c>
      <c r="J538" s="55" t="s">
        <v>276</v>
      </c>
      <c r="K538" s="56">
        <v>87170</v>
      </c>
      <c r="L538" s="57">
        <v>3</v>
      </c>
      <c r="M538" s="58"/>
    </row>
    <row r="539" spans="1:13" x14ac:dyDescent="0.25">
      <c r="A539" s="42" t="s">
        <v>828</v>
      </c>
      <c r="B539" s="49" t="s">
        <v>271</v>
      </c>
      <c r="C539" s="42" t="s">
        <v>767</v>
      </c>
      <c r="D539" s="75">
        <v>379340654</v>
      </c>
      <c r="E539" s="76">
        <v>9198642893</v>
      </c>
      <c r="F539" s="42" t="s">
        <v>256</v>
      </c>
      <c r="G539" s="52">
        <v>36991</v>
      </c>
      <c r="H539" s="53" t="str">
        <f t="shared" si="16"/>
        <v>Apr</v>
      </c>
      <c r="I539" s="54">
        <f t="shared" ca="1" si="17"/>
        <v>15</v>
      </c>
      <c r="J539" s="55" t="s">
        <v>276</v>
      </c>
      <c r="K539" s="56">
        <v>44270</v>
      </c>
      <c r="L539" s="57">
        <v>1</v>
      </c>
      <c r="M539" s="58"/>
    </row>
    <row r="540" spans="1:13" x14ac:dyDescent="0.25">
      <c r="A540" s="42" t="s">
        <v>829</v>
      </c>
      <c r="B540" s="49" t="s">
        <v>245</v>
      </c>
      <c r="C540" s="42" t="s">
        <v>767</v>
      </c>
      <c r="D540" s="75">
        <v>174159111</v>
      </c>
      <c r="E540" s="76">
        <v>9191675237</v>
      </c>
      <c r="F540" s="42" t="s">
        <v>256</v>
      </c>
      <c r="G540" s="52">
        <v>36287</v>
      </c>
      <c r="H540" s="53" t="str">
        <f t="shared" si="16"/>
        <v>May</v>
      </c>
      <c r="I540" s="54">
        <f t="shared" ca="1" si="17"/>
        <v>17</v>
      </c>
      <c r="J540" s="55" t="s">
        <v>262</v>
      </c>
      <c r="K540" s="56">
        <v>87240</v>
      </c>
      <c r="L540" s="57">
        <v>5</v>
      </c>
      <c r="M540" s="58"/>
    </row>
    <row r="541" spans="1:13" x14ac:dyDescent="0.25">
      <c r="A541" s="42" t="s">
        <v>830</v>
      </c>
      <c r="B541" s="49" t="s">
        <v>271</v>
      </c>
      <c r="C541" s="42" t="s">
        <v>767</v>
      </c>
      <c r="D541" s="75">
        <v>990843236</v>
      </c>
      <c r="E541" s="76">
        <v>9196245634</v>
      </c>
      <c r="F541" s="42" t="s">
        <v>256</v>
      </c>
      <c r="G541" s="52">
        <v>40048</v>
      </c>
      <c r="H541" s="53" t="str">
        <f t="shared" si="16"/>
        <v>Aug</v>
      </c>
      <c r="I541" s="54">
        <f t="shared" ca="1" si="17"/>
        <v>7</v>
      </c>
      <c r="J541" s="55" t="s">
        <v>283</v>
      </c>
      <c r="K541" s="56">
        <v>79060</v>
      </c>
      <c r="L541" s="57">
        <v>5</v>
      </c>
      <c r="M541" s="58"/>
    </row>
    <row r="542" spans="1:13" x14ac:dyDescent="0.25">
      <c r="A542" s="42" t="s">
        <v>831</v>
      </c>
      <c r="B542" s="49" t="s">
        <v>245</v>
      </c>
      <c r="C542" s="42" t="s">
        <v>767</v>
      </c>
      <c r="D542" s="75">
        <v>160184934</v>
      </c>
      <c r="E542" s="76">
        <v>9191191599</v>
      </c>
      <c r="F542" s="42" t="s">
        <v>261</v>
      </c>
      <c r="G542" s="52">
        <v>35794</v>
      </c>
      <c r="H542" s="53" t="str">
        <f t="shared" si="16"/>
        <v>Dec</v>
      </c>
      <c r="I542" s="54">
        <f t="shared" ca="1" si="17"/>
        <v>18</v>
      </c>
      <c r="J542" s="55" t="s">
        <v>283</v>
      </c>
      <c r="K542" s="56">
        <v>12840</v>
      </c>
      <c r="L542" s="57">
        <v>4</v>
      </c>
      <c r="M542" s="58"/>
    </row>
    <row r="543" spans="1:13" x14ac:dyDescent="0.25">
      <c r="A543" s="42" t="s">
        <v>832</v>
      </c>
      <c r="B543" s="49" t="s">
        <v>271</v>
      </c>
      <c r="C543" s="42" t="s">
        <v>767</v>
      </c>
      <c r="D543" s="75">
        <v>462650472</v>
      </c>
      <c r="E543" s="76">
        <v>2521276517</v>
      </c>
      <c r="F543" s="42" t="s">
        <v>247</v>
      </c>
      <c r="G543" s="52">
        <v>34403</v>
      </c>
      <c r="H543" s="53" t="str">
        <f t="shared" si="16"/>
        <v>Mar</v>
      </c>
      <c r="I543" s="54">
        <f t="shared" ca="1" si="17"/>
        <v>22</v>
      </c>
      <c r="J543" s="55"/>
      <c r="K543" s="56">
        <v>95260</v>
      </c>
      <c r="L543" s="57">
        <v>1</v>
      </c>
      <c r="M543" s="58"/>
    </row>
    <row r="544" spans="1:13" x14ac:dyDescent="0.25">
      <c r="A544" s="42" t="s">
        <v>833</v>
      </c>
      <c r="B544" s="49" t="s">
        <v>285</v>
      </c>
      <c r="C544" s="42" t="s">
        <v>767</v>
      </c>
      <c r="D544" s="75">
        <v>115404531</v>
      </c>
      <c r="E544" s="76">
        <v>2522636321</v>
      </c>
      <c r="F544" s="42" t="s">
        <v>261</v>
      </c>
      <c r="G544" s="52">
        <v>39174</v>
      </c>
      <c r="H544" s="53" t="str">
        <f t="shared" si="16"/>
        <v>Apr</v>
      </c>
      <c r="I544" s="54">
        <f t="shared" ca="1" si="17"/>
        <v>9</v>
      </c>
      <c r="J544" s="55" t="s">
        <v>283</v>
      </c>
      <c r="K544" s="56">
        <v>39480</v>
      </c>
      <c r="L544" s="57">
        <v>2</v>
      </c>
      <c r="M544" s="58"/>
    </row>
    <row r="545" spans="1:17" x14ac:dyDescent="0.25">
      <c r="A545" s="42" t="s">
        <v>834</v>
      </c>
      <c r="B545" s="49" t="s">
        <v>251</v>
      </c>
      <c r="C545" s="42" t="s">
        <v>767</v>
      </c>
      <c r="D545" s="75">
        <v>618775364</v>
      </c>
      <c r="E545" s="76">
        <v>9193182167</v>
      </c>
      <c r="F545" s="42" t="s">
        <v>261</v>
      </c>
      <c r="G545" s="52">
        <v>41255</v>
      </c>
      <c r="H545" s="53" t="str">
        <f t="shared" si="16"/>
        <v>Dec</v>
      </c>
      <c r="I545" s="54">
        <f t="shared" ca="1" si="17"/>
        <v>3</v>
      </c>
      <c r="J545" s="55" t="s">
        <v>283</v>
      </c>
      <c r="K545" s="56">
        <v>58440</v>
      </c>
      <c r="L545" s="57">
        <v>3</v>
      </c>
      <c r="M545" s="58"/>
    </row>
    <row r="546" spans="1:17" x14ac:dyDescent="0.25">
      <c r="A546" s="42" t="s">
        <v>835</v>
      </c>
      <c r="B546" s="49" t="s">
        <v>271</v>
      </c>
      <c r="C546" s="42" t="s">
        <v>767</v>
      </c>
      <c r="D546" s="75">
        <v>737152868</v>
      </c>
      <c r="E546" s="76">
        <v>9191124357</v>
      </c>
      <c r="F546" s="42" t="s">
        <v>256</v>
      </c>
      <c r="G546" s="52">
        <v>37674</v>
      </c>
      <c r="H546" s="53" t="str">
        <f t="shared" si="16"/>
        <v>Feb</v>
      </c>
      <c r="I546" s="54">
        <f t="shared" ca="1" si="17"/>
        <v>13</v>
      </c>
      <c r="J546" s="55" t="s">
        <v>276</v>
      </c>
      <c r="K546" s="56">
        <v>58000</v>
      </c>
      <c r="L546" s="57">
        <v>1</v>
      </c>
      <c r="M546" s="58"/>
    </row>
    <row r="547" spans="1:17" x14ac:dyDescent="0.25">
      <c r="A547" s="42" t="s">
        <v>836</v>
      </c>
      <c r="B547" s="49" t="s">
        <v>285</v>
      </c>
      <c r="C547" s="42" t="s">
        <v>767</v>
      </c>
      <c r="D547" s="75">
        <v>161439267</v>
      </c>
      <c r="E547" s="76">
        <v>9197600603</v>
      </c>
      <c r="F547" s="42" t="s">
        <v>256</v>
      </c>
      <c r="G547" s="52">
        <v>40363</v>
      </c>
      <c r="H547" s="53" t="str">
        <f t="shared" si="16"/>
        <v>Jul</v>
      </c>
      <c r="I547" s="54">
        <f t="shared" ca="1" si="17"/>
        <v>6</v>
      </c>
      <c r="J547" s="55" t="s">
        <v>262</v>
      </c>
      <c r="K547" s="56">
        <v>50420</v>
      </c>
      <c r="L547" s="57">
        <v>5</v>
      </c>
      <c r="M547" s="58"/>
    </row>
    <row r="548" spans="1:17" x14ac:dyDescent="0.25">
      <c r="A548" s="42" t="s">
        <v>837</v>
      </c>
      <c r="B548" s="49" t="s">
        <v>271</v>
      </c>
      <c r="C548" s="42" t="s">
        <v>767</v>
      </c>
      <c r="D548" s="75">
        <v>336025451</v>
      </c>
      <c r="E548" s="76">
        <v>2522344526</v>
      </c>
      <c r="F548" s="42" t="s">
        <v>247</v>
      </c>
      <c r="G548" s="52">
        <v>35479</v>
      </c>
      <c r="H548" s="53" t="str">
        <f t="shared" si="16"/>
        <v>Feb</v>
      </c>
      <c r="I548" s="54">
        <f t="shared" ca="1" si="17"/>
        <v>19</v>
      </c>
      <c r="J548" s="55"/>
      <c r="K548" s="56">
        <v>67980</v>
      </c>
      <c r="L548" s="57">
        <v>1</v>
      </c>
      <c r="M548" s="58"/>
    </row>
    <row r="549" spans="1:17" x14ac:dyDescent="0.25">
      <c r="A549" s="42" t="s">
        <v>838</v>
      </c>
      <c r="B549" s="49" t="s">
        <v>266</v>
      </c>
      <c r="C549" s="42" t="s">
        <v>767</v>
      </c>
      <c r="D549" s="75">
        <v>289103201</v>
      </c>
      <c r="E549" s="76">
        <v>9192921836</v>
      </c>
      <c r="F549" s="42" t="s">
        <v>256</v>
      </c>
      <c r="G549" s="52">
        <v>40218</v>
      </c>
      <c r="H549" s="53" t="str">
        <f t="shared" si="16"/>
        <v>Feb</v>
      </c>
      <c r="I549" s="54">
        <f t="shared" ca="1" si="17"/>
        <v>6</v>
      </c>
      <c r="J549" s="55" t="s">
        <v>257</v>
      </c>
      <c r="K549" s="56">
        <v>88600</v>
      </c>
      <c r="L549" s="57">
        <v>2</v>
      </c>
      <c r="M549" s="58"/>
    </row>
    <row r="550" spans="1:17" x14ac:dyDescent="0.25">
      <c r="A550" s="42" t="s">
        <v>839</v>
      </c>
      <c r="B550" s="49" t="s">
        <v>271</v>
      </c>
      <c r="C550" s="42" t="s">
        <v>767</v>
      </c>
      <c r="D550" s="75">
        <v>638495756</v>
      </c>
      <c r="E550" s="76">
        <v>2528922252</v>
      </c>
      <c r="F550" s="42" t="s">
        <v>247</v>
      </c>
      <c r="G550" s="52">
        <v>34950</v>
      </c>
      <c r="H550" s="53" t="str">
        <f t="shared" si="16"/>
        <v>Sep</v>
      </c>
      <c r="I550" s="54">
        <f t="shared" ca="1" si="17"/>
        <v>21</v>
      </c>
      <c r="J550" s="55"/>
      <c r="K550" s="56">
        <v>53660</v>
      </c>
      <c r="L550" s="57">
        <v>2</v>
      </c>
      <c r="M550" s="58"/>
    </row>
    <row r="551" spans="1:17" x14ac:dyDescent="0.25">
      <c r="A551" s="42" t="s">
        <v>840</v>
      </c>
      <c r="B551" s="49" t="s">
        <v>271</v>
      </c>
      <c r="C551" s="42" t="s">
        <v>767</v>
      </c>
      <c r="D551" s="75">
        <v>548283920</v>
      </c>
      <c r="E551" s="76">
        <v>2524160215</v>
      </c>
      <c r="F551" s="42" t="s">
        <v>247</v>
      </c>
      <c r="G551" s="52">
        <v>37298</v>
      </c>
      <c r="H551" s="53" t="str">
        <f t="shared" si="16"/>
        <v>Feb</v>
      </c>
      <c r="I551" s="54">
        <f t="shared" ca="1" si="17"/>
        <v>14</v>
      </c>
      <c r="J551" s="55"/>
      <c r="K551" s="56">
        <v>69590</v>
      </c>
      <c r="L551" s="57">
        <v>5</v>
      </c>
      <c r="M551" s="58"/>
    </row>
    <row r="552" spans="1:17" x14ac:dyDescent="0.25">
      <c r="A552" s="42" t="s">
        <v>841</v>
      </c>
      <c r="B552" s="49" t="s">
        <v>280</v>
      </c>
      <c r="C552" s="42" t="s">
        <v>767</v>
      </c>
      <c r="D552" s="75">
        <v>486016972</v>
      </c>
      <c r="E552" s="76">
        <v>9194532398</v>
      </c>
      <c r="F552" s="42" t="s">
        <v>261</v>
      </c>
      <c r="G552" s="52">
        <v>40729</v>
      </c>
      <c r="H552" s="53" t="str">
        <f t="shared" si="16"/>
        <v>Jul</v>
      </c>
      <c r="I552" s="54">
        <f t="shared" ca="1" si="17"/>
        <v>5</v>
      </c>
      <c r="J552" s="55" t="s">
        <v>257</v>
      </c>
      <c r="K552" s="56">
        <v>54680</v>
      </c>
      <c r="L552" s="57">
        <v>1</v>
      </c>
      <c r="M552" s="58"/>
    </row>
    <row r="553" spans="1:17" x14ac:dyDescent="0.25">
      <c r="A553" s="42" t="s">
        <v>842</v>
      </c>
      <c r="B553" s="49" t="s">
        <v>271</v>
      </c>
      <c r="C553" s="42" t="s">
        <v>767</v>
      </c>
      <c r="D553" s="75">
        <v>867100310</v>
      </c>
      <c r="E553" s="76">
        <v>9191376854</v>
      </c>
      <c r="F553" s="42" t="s">
        <v>256</v>
      </c>
      <c r="G553" s="52">
        <v>37394</v>
      </c>
      <c r="H553" s="53" t="str">
        <f t="shared" si="16"/>
        <v>May</v>
      </c>
      <c r="I553" s="54">
        <f t="shared" ca="1" si="17"/>
        <v>14</v>
      </c>
      <c r="J553" s="55" t="s">
        <v>283</v>
      </c>
      <c r="K553" s="56">
        <v>79090</v>
      </c>
      <c r="L553" s="57">
        <v>5</v>
      </c>
      <c r="M553" s="58"/>
    </row>
    <row r="554" spans="1:17" x14ac:dyDescent="0.25">
      <c r="A554" s="42" t="s">
        <v>843</v>
      </c>
      <c r="B554" s="49" t="s">
        <v>271</v>
      </c>
      <c r="C554" s="42" t="s">
        <v>767</v>
      </c>
      <c r="D554" s="75">
        <v>339488599</v>
      </c>
      <c r="E554" s="76">
        <v>9191267946</v>
      </c>
      <c r="F554" s="42" t="s">
        <v>247</v>
      </c>
      <c r="G554" s="52">
        <v>38405</v>
      </c>
      <c r="H554" s="53" t="str">
        <f t="shared" si="16"/>
        <v>Feb</v>
      </c>
      <c r="I554" s="54">
        <f t="shared" ca="1" si="17"/>
        <v>11</v>
      </c>
      <c r="J554" s="55"/>
      <c r="K554" s="56">
        <v>72080</v>
      </c>
      <c r="L554" s="57">
        <v>3</v>
      </c>
      <c r="M554" s="58"/>
    </row>
    <row r="555" spans="1:17" x14ac:dyDescent="0.25">
      <c r="A555" s="42" t="s">
        <v>844</v>
      </c>
      <c r="B555" s="49" t="s">
        <v>280</v>
      </c>
      <c r="C555" s="42" t="s">
        <v>767</v>
      </c>
      <c r="D555" s="75">
        <v>422463024</v>
      </c>
      <c r="E555" s="76">
        <v>9193876146</v>
      </c>
      <c r="F555" s="42" t="s">
        <v>256</v>
      </c>
      <c r="G555" s="52">
        <v>35694</v>
      </c>
      <c r="H555" s="53" t="str">
        <f t="shared" si="16"/>
        <v>Sep</v>
      </c>
      <c r="I555" s="54">
        <f t="shared" ca="1" si="17"/>
        <v>19</v>
      </c>
      <c r="J555" s="55" t="s">
        <v>262</v>
      </c>
      <c r="K555" s="56">
        <v>106580</v>
      </c>
      <c r="L555" s="57">
        <v>2</v>
      </c>
      <c r="M555" s="58"/>
      <c r="P555" s="78"/>
      <c r="Q555" s="78"/>
    </row>
    <row r="556" spans="1:17" x14ac:dyDescent="0.25">
      <c r="A556" s="42" t="s">
        <v>845</v>
      </c>
      <c r="B556" s="49" t="s">
        <v>245</v>
      </c>
      <c r="C556" s="42" t="s">
        <v>767</v>
      </c>
      <c r="D556" s="75">
        <v>484442635</v>
      </c>
      <c r="E556" s="76">
        <v>2527194901</v>
      </c>
      <c r="F556" s="42" t="s">
        <v>247</v>
      </c>
      <c r="G556" s="52">
        <v>34168</v>
      </c>
      <c r="H556" s="53" t="str">
        <f t="shared" si="16"/>
        <v>Jul</v>
      </c>
      <c r="I556" s="54">
        <f t="shared" ca="1" si="17"/>
        <v>23</v>
      </c>
      <c r="J556" s="55"/>
      <c r="K556" s="56">
        <v>27620</v>
      </c>
      <c r="L556" s="57">
        <v>4</v>
      </c>
      <c r="M556" s="58"/>
    </row>
    <row r="557" spans="1:17" x14ac:dyDescent="0.25">
      <c r="A557" s="42" t="s">
        <v>846</v>
      </c>
      <c r="B557" s="49" t="s">
        <v>245</v>
      </c>
      <c r="C557" s="42" t="s">
        <v>767</v>
      </c>
      <c r="D557" s="75">
        <v>570756015</v>
      </c>
      <c r="E557" s="76">
        <v>2522238535</v>
      </c>
      <c r="F557" s="42" t="s">
        <v>261</v>
      </c>
      <c r="G557" s="52">
        <v>41422</v>
      </c>
      <c r="H557" s="53" t="str">
        <f t="shared" si="16"/>
        <v>May</v>
      </c>
      <c r="I557" s="54">
        <f t="shared" ca="1" si="17"/>
        <v>3</v>
      </c>
      <c r="J557" s="55" t="s">
        <v>262</v>
      </c>
      <c r="K557" s="56">
        <v>59230</v>
      </c>
      <c r="L557" s="57">
        <v>5</v>
      </c>
      <c r="M557" s="58"/>
    </row>
    <row r="558" spans="1:17" x14ac:dyDescent="0.25">
      <c r="A558" s="42" t="s">
        <v>847</v>
      </c>
      <c r="B558" s="49" t="s">
        <v>271</v>
      </c>
      <c r="C558" s="42" t="s">
        <v>767</v>
      </c>
      <c r="D558" s="75">
        <v>456809622</v>
      </c>
      <c r="E558" s="76">
        <v>2523046338</v>
      </c>
      <c r="F558" s="42" t="s">
        <v>256</v>
      </c>
      <c r="G558" s="52">
        <v>34099</v>
      </c>
      <c r="H558" s="53" t="str">
        <f t="shared" si="16"/>
        <v>May</v>
      </c>
      <c r="I558" s="54">
        <f t="shared" ca="1" si="17"/>
        <v>23</v>
      </c>
      <c r="J558" s="55" t="s">
        <v>257</v>
      </c>
      <c r="K558" s="56">
        <v>57700</v>
      </c>
      <c r="L558" s="57">
        <v>2</v>
      </c>
      <c r="M558" s="58"/>
      <c r="P558" s="78"/>
      <c r="Q558" s="78"/>
    </row>
    <row r="559" spans="1:17" x14ac:dyDescent="0.25">
      <c r="A559" s="42" t="s">
        <v>848</v>
      </c>
      <c r="B559" s="49" t="s">
        <v>266</v>
      </c>
      <c r="C559" s="42" t="s">
        <v>767</v>
      </c>
      <c r="D559" s="75">
        <v>546159785</v>
      </c>
      <c r="E559" s="76">
        <v>2522924678</v>
      </c>
      <c r="F559" s="42" t="s">
        <v>256</v>
      </c>
      <c r="G559" s="52">
        <v>39424</v>
      </c>
      <c r="H559" s="53" t="str">
        <f t="shared" si="16"/>
        <v>Dec</v>
      </c>
      <c r="I559" s="54">
        <f t="shared" ca="1" si="17"/>
        <v>8</v>
      </c>
      <c r="J559" s="55" t="s">
        <v>276</v>
      </c>
      <c r="K559" s="56">
        <v>73600</v>
      </c>
      <c r="L559" s="57">
        <v>2</v>
      </c>
      <c r="M559" s="58"/>
    </row>
    <row r="560" spans="1:17" x14ac:dyDescent="0.25">
      <c r="A560" s="42" t="s">
        <v>849</v>
      </c>
      <c r="B560" s="49" t="s">
        <v>285</v>
      </c>
      <c r="C560" s="42" t="s">
        <v>767</v>
      </c>
      <c r="D560" s="75">
        <v>592519945</v>
      </c>
      <c r="E560" s="76">
        <v>9195990200</v>
      </c>
      <c r="F560" s="42" t="s">
        <v>256</v>
      </c>
      <c r="G560" s="52">
        <v>40447</v>
      </c>
      <c r="H560" s="53" t="str">
        <f t="shared" si="16"/>
        <v>Sep</v>
      </c>
      <c r="I560" s="54">
        <f t="shared" ca="1" si="17"/>
        <v>6</v>
      </c>
      <c r="J560" s="55" t="s">
        <v>257</v>
      </c>
      <c r="K560" s="56">
        <v>53580</v>
      </c>
      <c r="L560" s="57">
        <v>1</v>
      </c>
      <c r="M560" s="58"/>
      <c r="P560" s="78"/>
      <c r="Q560" s="78"/>
    </row>
    <row r="561" spans="1:17" x14ac:dyDescent="0.25">
      <c r="A561" s="42" t="s">
        <v>850</v>
      </c>
      <c r="B561" s="49" t="s">
        <v>245</v>
      </c>
      <c r="C561" s="42" t="s">
        <v>767</v>
      </c>
      <c r="D561" s="75">
        <v>828715080</v>
      </c>
      <c r="E561" s="76">
        <v>2523613559</v>
      </c>
      <c r="F561" s="42" t="s">
        <v>256</v>
      </c>
      <c r="G561" s="52">
        <v>36095</v>
      </c>
      <c r="H561" s="53" t="str">
        <f t="shared" si="16"/>
        <v>Oct</v>
      </c>
      <c r="I561" s="54">
        <f t="shared" ca="1" si="17"/>
        <v>18</v>
      </c>
      <c r="J561" s="55" t="s">
        <v>262</v>
      </c>
      <c r="K561" s="56">
        <v>73380</v>
      </c>
      <c r="L561" s="57">
        <v>2</v>
      </c>
      <c r="M561" s="58"/>
    </row>
    <row r="562" spans="1:17" x14ac:dyDescent="0.25">
      <c r="A562" s="42" t="s">
        <v>851</v>
      </c>
      <c r="B562" s="49" t="s">
        <v>271</v>
      </c>
      <c r="C562" s="42" t="s">
        <v>767</v>
      </c>
      <c r="D562" s="75">
        <v>278129861</v>
      </c>
      <c r="E562" s="76">
        <v>9198561246</v>
      </c>
      <c r="F562" s="42" t="s">
        <v>247</v>
      </c>
      <c r="G562" s="52">
        <v>41405</v>
      </c>
      <c r="H562" s="53" t="str">
        <f t="shared" si="16"/>
        <v>May</v>
      </c>
      <c r="I562" s="54">
        <f t="shared" ca="1" si="17"/>
        <v>3</v>
      </c>
      <c r="J562" s="55"/>
      <c r="K562" s="56">
        <v>47460</v>
      </c>
      <c r="L562" s="57">
        <v>5</v>
      </c>
      <c r="M562" s="58"/>
    </row>
    <row r="563" spans="1:17" x14ac:dyDescent="0.25">
      <c r="A563" s="42" t="s">
        <v>852</v>
      </c>
      <c r="B563" s="49" t="s">
        <v>271</v>
      </c>
      <c r="C563" s="42" t="s">
        <v>767</v>
      </c>
      <c r="D563" s="75">
        <v>503036433</v>
      </c>
      <c r="E563" s="76">
        <v>9192453666</v>
      </c>
      <c r="F563" s="42" t="s">
        <v>256</v>
      </c>
      <c r="G563" s="52">
        <v>34461</v>
      </c>
      <c r="H563" s="53" t="str">
        <f t="shared" si="16"/>
        <v>May</v>
      </c>
      <c r="I563" s="54">
        <f t="shared" ca="1" si="17"/>
        <v>22</v>
      </c>
      <c r="J563" s="55" t="s">
        <v>267</v>
      </c>
      <c r="K563" s="56">
        <v>93290</v>
      </c>
      <c r="L563" s="57">
        <v>1</v>
      </c>
      <c r="M563" s="58"/>
    </row>
    <row r="564" spans="1:17" x14ac:dyDescent="0.25">
      <c r="A564" s="42" t="s">
        <v>853</v>
      </c>
      <c r="B564" s="49" t="s">
        <v>271</v>
      </c>
      <c r="C564" s="42" t="s">
        <v>767</v>
      </c>
      <c r="D564" s="75">
        <v>505680981</v>
      </c>
      <c r="E564" s="76">
        <v>2527557761</v>
      </c>
      <c r="F564" s="42" t="s">
        <v>256</v>
      </c>
      <c r="G564" s="52">
        <v>38139</v>
      </c>
      <c r="H564" s="53" t="str">
        <f t="shared" si="16"/>
        <v>Jun</v>
      </c>
      <c r="I564" s="54">
        <f t="shared" ca="1" si="17"/>
        <v>12</v>
      </c>
      <c r="J564" s="55" t="s">
        <v>257</v>
      </c>
      <c r="K564" s="56">
        <v>34960</v>
      </c>
      <c r="L564" s="57">
        <v>1</v>
      </c>
      <c r="M564" s="58"/>
    </row>
    <row r="565" spans="1:17" x14ac:dyDescent="0.25">
      <c r="A565" s="42" t="s">
        <v>854</v>
      </c>
      <c r="B565" s="49" t="s">
        <v>285</v>
      </c>
      <c r="C565" s="42" t="s">
        <v>767</v>
      </c>
      <c r="D565" s="75">
        <v>828395582</v>
      </c>
      <c r="E565" s="76">
        <v>9198591986</v>
      </c>
      <c r="F565" s="42" t="s">
        <v>256</v>
      </c>
      <c r="G565" s="52">
        <v>34574</v>
      </c>
      <c r="H565" s="53" t="str">
        <f t="shared" si="16"/>
        <v>Aug</v>
      </c>
      <c r="I565" s="54">
        <f t="shared" ca="1" si="17"/>
        <v>22</v>
      </c>
      <c r="J565" s="55" t="s">
        <v>276</v>
      </c>
      <c r="K565" s="56">
        <v>86020</v>
      </c>
      <c r="L565" s="57">
        <v>4</v>
      </c>
      <c r="M565" s="58"/>
    </row>
    <row r="566" spans="1:17" x14ac:dyDescent="0.25">
      <c r="A566" s="42" t="s">
        <v>855</v>
      </c>
      <c r="B566" s="49" t="s">
        <v>285</v>
      </c>
      <c r="C566" s="42" t="s">
        <v>856</v>
      </c>
      <c r="D566" s="75">
        <v>337411408</v>
      </c>
      <c r="E566" s="76">
        <v>9194729409</v>
      </c>
      <c r="F566" s="42" t="s">
        <v>256</v>
      </c>
      <c r="G566" s="52">
        <v>37527</v>
      </c>
      <c r="H566" s="53" t="str">
        <f t="shared" si="16"/>
        <v>Sep</v>
      </c>
      <c r="I566" s="54">
        <f t="shared" ca="1" si="17"/>
        <v>14</v>
      </c>
      <c r="J566" s="55" t="s">
        <v>257</v>
      </c>
      <c r="K566" s="56">
        <v>35110</v>
      </c>
      <c r="L566" s="57">
        <v>4</v>
      </c>
      <c r="M566" s="58"/>
    </row>
    <row r="567" spans="1:17" x14ac:dyDescent="0.25">
      <c r="A567" s="42" t="s">
        <v>857</v>
      </c>
      <c r="B567" s="49" t="s">
        <v>271</v>
      </c>
      <c r="C567" s="42" t="s">
        <v>856</v>
      </c>
      <c r="D567" s="75">
        <v>709234421</v>
      </c>
      <c r="E567" s="76">
        <v>2523838954</v>
      </c>
      <c r="F567" s="42" t="s">
        <v>256</v>
      </c>
      <c r="G567" s="52">
        <v>35755</v>
      </c>
      <c r="H567" s="53" t="str">
        <f t="shared" si="16"/>
        <v>Nov</v>
      </c>
      <c r="I567" s="54">
        <f t="shared" ca="1" si="17"/>
        <v>18</v>
      </c>
      <c r="J567" s="55" t="s">
        <v>257</v>
      </c>
      <c r="K567" s="56">
        <v>46800</v>
      </c>
      <c r="L567" s="57">
        <v>5</v>
      </c>
      <c r="M567" s="58"/>
    </row>
    <row r="568" spans="1:17" x14ac:dyDescent="0.25">
      <c r="A568" s="42" t="s">
        <v>858</v>
      </c>
      <c r="B568" s="49" t="s">
        <v>285</v>
      </c>
      <c r="C568" s="42" t="s">
        <v>856</v>
      </c>
      <c r="D568" s="75">
        <v>420739404</v>
      </c>
      <c r="E568" s="76">
        <v>9197785583</v>
      </c>
      <c r="F568" s="42" t="s">
        <v>256</v>
      </c>
      <c r="G568" s="52">
        <v>34270</v>
      </c>
      <c r="H568" s="53" t="str">
        <f t="shared" si="16"/>
        <v>Oct</v>
      </c>
      <c r="I568" s="54">
        <f t="shared" ca="1" si="17"/>
        <v>23</v>
      </c>
      <c r="J568" s="55" t="s">
        <v>283</v>
      </c>
      <c r="K568" s="56">
        <v>29810</v>
      </c>
      <c r="L568" s="57">
        <v>1</v>
      </c>
      <c r="M568" s="58"/>
    </row>
    <row r="569" spans="1:17" x14ac:dyDescent="0.25">
      <c r="A569" s="42" t="s">
        <v>859</v>
      </c>
      <c r="B569" s="49" t="s">
        <v>245</v>
      </c>
      <c r="C569" s="42" t="s">
        <v>856</v>
      </c>
      <c r="D569" s="75">
        <v>512404764</v>
      </c>
      <c r="E569" s="76">
        <v>9193976775</v>
      </c>
      <c r="F569" s="42" t="s">
        <v>256</v>
      </c>
      <c r="G569" s="52">
        <v>37291</v>
      </c>
      <c r="H569" s="53" t="str">
        <f t="shared" si="16"/>
        <v>Feb</v>
      </c>
      <c r="I569" s="54">
        <f t="shared" ca="1" si="17"/>
        <v>14</v>
      </c>
      <c r="J569" s="55" t="s">
        <v>283</v>
      </c>
      <c r="K569" s="56">
        <v>46800</v>
      </c>
      <c r="L569" s="57">
        <v>3</v>
      </c>
      <c r="M569" s="58"/>
    </row>
    <row r="570" spans="1:17" x14ac:dyDescent="0.25">
      <c r="A570" s="42" t="s">
        <v>860</v>
      </c>
      <c r="B570" s="49" t="s">
        <v>251</v>
      </c>
      <c r="C570" s="42" t="s">
        <v>856</v>
      </c>
      <c r="D570" s="75">
        <v>265993407</v>
      </c>
      <c r="E570" s="76">
        <v>9193558443</v>
      </c>
      <c r="F570" s="42" t="s">
        <v>247</v>
      </c>
      <c r="G570" s="52">
        <v>34283</v>
      </c>
      <c r="H570" s="53" t="str">
        <f t="shared" si="16"/>
        <v>Nov</v>
      </c>
      <c r="I570" s="54">
        <f t="shared" ca="1" si="17"/>
        <v>22</v>
      </c>
      <c r="J570" s="55"/>
      <c r="K570" s="56">
        <v>107340</v>
      </c>
      <c r="L570" s="57">
        <v>2</v>
      </c>
      <c r="M570" s="58"/>
    </row>
    <row r="571" spans="1:17" x14ac:dyDescent="0.25">
      <c r="A571" s="42" t="s">
        <v>861</v>
      </c>
      <c r="B571" s="49" t="s">
        <v>271</v>
      </c>
      <c r="C571" s="42" t="s">
        <v>856</v>
      </c>
      <c r="D571" s="75">
        <v>412159105</v>
      </c>
      <c r="E571" s="76">
        <v>9198252392</v>
      </c>
      <c r="F571" s="42" t="s">
        <v>252</v>
      </c>
      <c r="G571" s="52">
        <v>36403</v>
      </c>
      <c r="H571" s="53" t="str">
        <f t="shared" si="16"/>
        <v>Aug</v>
      </c>
      <c r="I571" s="54">
        <f t="shared" ca="1" si="17"/>
        <v>17</v>
      </c>
      <c r="J571" s="55"/>
      <c r="K571" s="56">
        <v>40210</v>
      </c>
      <c r="L571" s="57">
        <v>4</v>
      </c>
      <c r="M571" s="58"/>
      <c r="P571" s="78"/>
      <c r="Q571" s="78"/>
    </row>
    <row r="572" spans="1:17" x14ac:dyDescent="0.25">
      <c r="A572" s="42" t="s">
        <v>862</v>
      </c>
      <c r="B572" s="49" t="s">
        <v>266</v>
      </c>
      <c r="C572" s="42" t="s">
        <v>856</v>
      </c>
      <c r="D572" s="75">
        <v>889210902</v>
      </c>
      <c r="E572" s="76">
        <v>2527422559</v>
      </c>
      <c r="F572" s="42" t="s">
        <v>256</v>
      </c>
      <c r="G572" s="52">
        <v>37515</v>
      </c>
      <c r="H572" s="53" t="str">
        <f t="shared" si="16"/>
        <v>Sep</v>
      </c>
      <c r="I572" s="54">
        <f t="shared" ca="1" si="17"/>
        <v>14</v>
      </c>
      <c r="J572" s="55" t="s">
        <v>283</v>
      </c>
      <c r="K572" s="56">
        <v>57900</v>
      </c>
      <c r="L572" s="57">
        <v>3</v>
      </c>
      <c r="M572" s="58"/>
    </row>
    <row r="573" spans="1:17" x14ac:dyDescent="0.25">
      <c r="A573" s="42" t="s">
        <v>863</v>
      </c>
      <c r="B573" s="49" t="s">
        <v>271</v>
      </c>
      <c r="C573" s="42" t="s">
        <v>856</v>
      </c>
      <c r="D573" s="75">
        <v>843632637</v>
      </c>
      <c r="E573" s="76">
        <v>9198545681</v>
      </c>
      <c r="F573" s="42" t="s">
        <v>252</v>
      </c>
      <c r="G573" s="52">
        <v>36862</v>
      </c>
      <c r="H573" s="53" t="str">
        <f t="shared" si="16"/>
        <v>Dec</v>
      </c>
      <c r="I573" s="54">
        <f t="shared" ca="1" si="17"/>
        <v>15</v>
      </c>
      <c r="J573" s="55"/>
      <c r="K573" s="56">
        <v>15400</v>
      </c>
      <c r="L573" s="57">
        <v>5</v>
      </c>
      <c r="M573" s="58"/>
    </row>
    <row r="574" spans="1:17" x14ac:dyDescent="0.25">
      <c r="A574" s="42" t="s">
        <v>864</v>
      </c>
      <c r="B574" s="49" t="s">
        <v>266</v>
      </c>
      <c r="C574" s="42" t="s">
        <v>856</v>
      </c>
      <c r="D574" s="75">
        <v>313648228</v>
      </c>
      <c r="E574" s="76">
        <v>2524998145</v>
      </c>
      <c r="F574" s="42" t="s">
        <v>256</v>
      </c>
      <c r="G574" s="52">
        <v>38626</v>
      </c>
      <c r="H574" s="53" t="str">
        <f t="shared" si="16"/>
        <v>Oct</v>
      </c>
      <c r="I574" s="54">
        <f t="shared" ca="1" si="17"/>
        <v>11</v>
      </c>
      <c r="J574" s="55" t="s">
        <v>283</v>
      </c>
      <c r="K574" s="56">
        <v>98990</v>
      </c>
      <c r="L574" s="57">
        <v>5</v>
      </c>
      <c r="M574" s="58"/>
    </row>
    <row r="575" spans="1:17" x14ac:dyDescent="0.25">
      <c r="A575" s="42" t="s">
        <v>865</v>
      </c>
      <c r="B575" s="49" t="s">
        <v>285</v>
      </c>
      <c r="C575" s="42" t="s">
        <v>856</v>
      </c>
      <c r="D575" s="75">
        <v>110726520</v>
      </c>
      <c r="E575" s="76">
        <v>9197963782</v>
      </c>
      <c r="F575" s="42" t="s">
        <v>256</v>
      </c>
      <c r="G575" s="52">
        <v>36498</v>
      </c>
      <c r="H575" s="53" t="str">
        <f t="shared" si="16"/>
        <v>Dec</v>
      </c>
      <c r="I575" s="54">
        <f t="shared" ca="1" si="17"/>
        <v>16</v>
      </c>
      <c r="J575" s="55" t="s">
        <v>257</v>
      </c>
      <c r="K575" s="56">
        <v>94450</v>
      </c>
      <c r="L575" s="57">
        <v>4</v>
      </c>
      <c r="M575" s="58"/>
    </row>
    <row r="576" spans="1:17" x14ac:dyDescent="0.25">
      <c r="A576" s="42" t="s">
        <v>866</v>
      </c>
      <c r="B576" s="49" t="s">
        <v>285</v>
      </c>
      <c r="C576" s="42" t="s">
        <v>856</v>
      </c>
      <c r="D576" s="75">
        <v>932553359</v>
      </c>
      <c r="E576" s="76">
        <v>9192376215</v>
      </c>
      <c r="F576" s="42" t="s">
        <v>247</v>
      </c>
      <c r="G576" s="52">
        <v>40721</v>
      </c>
      <c r="H576" s="53" t="str">
        <f t="shared" si="16"/>
        <v>Jun</v>
      </c>
      <c r="I576" s="54">
        <f t="shared" ca="1" si="17"/>
        <v>5</v>
      </c>
      <c r="J576" s="55"/>
      <c r="K576" s="56">
        <v>51980</v>
      </c>
      <c r="L576" s="57">
        <v>5</v>
      </c>
      <c r="M576" s="58"/>
    </row>
    <row r="577" spans="1:13" x14ac:dyDescent="0.25">
      <c r="A577" s="42" t="s">
        <v>867</v>
      </c>
      <c r="B577" s="49" t="s">
        <v>271</v>
      </c>
      <c r="C577" s="42" t="s">
        <v>856</v>
      </c>
      <c r="D577" s="75">
        <v>705186668</v>
      </c>
      <c r="E577" s="76">
        <v>9193922813</v>
      </c>
      <c r="F577" s="42" t="s">
        <v>252</v>
      </c>
      <c r="G577" s="52">
        <v>35181</v>
      </c>
      <c r="H577" s="53" t="str">
        <f t="shared" si="16"/>
        <v>Apr</v>
      </c>
      <c r="I577" s="54">
        <f t="shared" ca="1" si="17"/>
        <v>20</v>
      </c>
      <c r="J577" s="55"/>
      <c r="K577" s="56">
        <v>31780</v>
      </c>
      <c r="L577" s="57">
        <v>5</v>
      </c>
      <c r="M577" s="58"/>
    </row>
    <row r="578" spans="1:13" x14ac:dyDescent="0.25">
      <c r="A578" s="42" t="s">
        <v>868</v>
      </c>
      <c r="B578" s="49" t="s">
        <v>266</v>
      </c>
      <c r="C578" s="42" t="s">
        <v>856</v>
      </c>
      <c r="D578" s="75">
        <v>733881041</v>
      </c>
      <c r="E578" s="76">
        <v>2524072342</v>
      </c>
      <c r="F578" s="42" t="s">
        <v>252</v>
      </c>
      <c r="G578" s="52">
        <v>37558</v>
      </c>
      <c r="H578" s="53" t="str">
        <f t="shared" ref="H578:H641" si="18">CHOOSE(MONTH(G578),"Jan","Feb","Mar","Apr","May","Jun","Jul","Aug","Sep","Oct","Nov","Dec")</f>
        <v>Oct</v>
      </c>
      <c r="I578" s="54">
        <f t="shared" ref="I578:I641" ca="1" si="19">DATEDIF(G578,TODAY(),"Y")</f>
        <v>14</v>
      </c>
      <c r="J578" s="55"/>
      <c r="K578" s="56">
        <v>18660</v>
      </c>
      <c r="L578" s="57">
        <v>4</v>
      </c>
      <c r="M578" s="58"/>
    </row>
    <row r="579" spans="1:13" x14ac:dyDescent="0.25">
      <c r="A579" s="42" t="s">
        <v>869</v>
      </c>
      <c r="B579" s="49" t="s">
        <v>251</v>
      </c>
      <c r="C579" s="42" t="s">
        <v>856</v>
      </c>
      <c r="D579" s="75">
        <v>462461365</v>
      </c>
      <c r="E579" s="76">
        <v>2527126482</v>
      </c>
      <c r="F579" s="42" t="s">
        <v>256</v>
      </c>
      <c r="G579" s="52">
        <v>35022</v>
      </c>
      <c r="H579" s="53" t="str">
        <f t="shared" si="18"/>
        <v>Nov</v>
      </c>
      <c r="I579" s="54">
        <f t="shared" ca="1" si="19"/>
        <v>20</v>
      </c>
      <c r="J579" s="55" t="s">
        <v>283</v>
      </c>
      <c r="K579" s="56">
        <v>54130</v>
      </c>
      <c r="L579" s="57">
        <v>2</v>
      </c>
      <c r="M579" s="58"/>
    </row>
    <row r="580" spans="1:13" x14ac:dyDescent="0.25">
      <c r="A580" s="42" t="s">
        <v>870</v>
      </c>
      <c r="B580" s="49" t="s">
        <v>285</v>
      </c>
      <c r="C580" s="42" t="s">
        <v>856</v>
      </c>
      <c r="D580" s="75">
        <v>983047016</v>
      </c>
      <c r="E580" s="76">
        <v>9198451642</v>
      </c>
      <c r="F580" s="42" t="s">
        <v>247</v>
      </c>
      <c r="G580" s="52">
        <v>39794</v>
      </c>
      <c r="H580" s="53" t="str">
        <f t="shared" si="18"/>
        <v>Dec</v>
      </c>
      <c r="I580" s="54">
        <f t="shared" ca="1" si="19"/>
        <v>7</v>
      </c>
      <c r="J580" s="55"/>
      <c r="K580" s="56">
        <v>103120</v>
      </c>
      <c r="L580" s="57">
        <v>2</v>
      </c>
      <c r="M580" s="58"/>
    </row>
    <row r="581" spans="1:13" x14ac:dyDescent="0.25">
      <c r="A581" s="42" t="s">
        <v>871</v>
      </c>
      <c r="B581" s="49" t="s">
        <v>285</v>
      </c>
      <c r="C581" s="42" t="s">
        <v>856</v>
      </c>
      <c r="D581" s="75">
        <v>489667166</v>
      </c>
      <c r="E581" s="76">
        <v>2522238881</v>
      </c>
      <c r="F581" s="42" t="s">
        <v>256</v>
      </c>
      <c r="G581" s="52">
        <v>37408</v>
      </c>
      <c r="H581" s="53" t="str">
        <f t="shared" si="18"/>
        <v>Jun</v>
      </c>
      <c r="I581" s="54">
        <f t="shared" ca="1" si="19"/>
        <v>14</v>
      </c>
      <c r="J581" s="55" t="s">
        <v>262</v>
      </c>
      <c r="K581" s="56">
        <v>55060</v>
      </c>
      <c r="L581" s="57">
        <v>5</v>
      </c>
      <c r="M581" s="58"/>
    </row>
    <row r="582" spans="1:13" x14ac:dyDescent="0.25">
      <c r="A582" s="42" t="s">
        <v>872</v>
      </c>
      <c r="B582" s="49" t="s">
        <v>285</v>
      </c>
      <c r="C582" s="42" t="s">
        <v>856</v>
      </c>
      <c r="D582" s="75">
        <v>826508763</v>
      </c>
      <c r="E582" s="76">
        <v>2526801348</v>
      </c>
      <c r="F582" s="42" t="s">
        <v>256</v>
      </c>
      <c r="G582" s="52">
        <v>40746</v>
      </c>
      <c r="H582" s="53" t="str">
        <f t="shared" si="18"/>
        <v>Jul</v>
      </c>
      <c r="I582" s="54">
        <f t="shared" ca="1" si="19"/>
        <v>5</v>
      </c>
      <c r="J582" s="55" t="s">
        <v>283</v>
      </c>
      <c r="K582" s="56">
        <v>35200</v>
      </c>
      <c r="L582" s="57">
        <v>5</v>
      </c>
      <c r="M582" s="58"/>
    </row>
    <row r="583" spans="1:13" x14ac:dyDescent="0.25">
      <c r="A583" s="42" t="s">
        <v>873</v>
      </c>
      <c r="B583" s="49" t="s">
        <v>285</v>
      </c>
      <c r="C583" s="42" t="s">
        <v>856</v>
      </c>
      <c r="D583" s="75">
        <v>135633006</v>
      </c>
      <c r="E583" s="76">
        <v>2526732103</v>
      </c>
      <c r="F583" s="42" t="s">
        <v>247</v>
      </c>
      <c r="G583" s="52">
        <v>37480</v>
      </c>
      <c r="H583" s="53" t="str">
        <f t="shared" si="18"/>
        <v>Aug</v>
      </c>
      <c r="I583" s="54">
        <f t="shared" ca="1" si="19"/>
        <v>14</v>
      </c>
      <c r="J583" s="55"/>
      <c r="K583" s="56">
        <v>65810</v>
      </c>
      <c r="L583" s="57">
        <v>4</v>
      </c>
      <c r="M583" s="58"/>
    </row>
    <row r="584" spans="1:13" x14ac:dyDescent="0.25">
      <c r="A584" s="42" t="s">
        <v>874</v>
      </c>
      <c r="B584" s="49" t="s">
        <v>271</v>
      </c>
      <c r="C584" s="42" t="s">
        <v>856</v>
      </c>
      <c r="D584" s="75">
        <v>548704405</v>
      </c>
      <c r="E584" s="76">
        <v>2526458440</v>
      </c>
      <c r="F584" s="42" t="s">
        <v>247</v>
      </c>
      <c r="G584" s="52">
        <v>37407</v>
      </c>
      <c r="H584" s="53" t="str">
        <f t="shared" si="18"/>
        <v>May</v>
      </c>
      <c r="I584" s="54">
        <f t="shared" ca="1" si="19"/>
        <v>14</v>
      </c>
      <c r="J584" s="55"/>
      <c r="K584" s="56">
        <v>72960</v>
      </c>
      <c r="L584" s="57">
        <v>4</v>
      </c>
      <c r="M584" s="58"/>
    </row>
    <row r="585" spans="1:13" x14ac:dyDescent="0.25">
      <c r="A585" s="42" t="s">
        <v>875</v>
      </c>
      <c r="B585" s="49" t="s">
        <v>285</v>
      </c>
      <c r="C585" s="42" t="s">
        <v>856</v>
      </c>
      <c r="D585" s="75">
        <v>100703382</v>
      </c>
      <c r="E585" s="76">
        <v>9195157047</v>
      </c>
      <c r="F585" s="42" t="s">
        <v>256</v>
      </c>
      <c r="G585" s="52">
        <v>35161</v>
      </c>
      <c r="H585" s="53" t="str">
        <f t="shared" si="18"/>
        <v>Apr</v>
      </c>
      <c r="I585" s="54">
        <f t="shared" ca="1" si="19"/>
        <v>20</v>
      </c>
      <c r="J585" s="55" t="s">
        <v>257</v>
      </c>
      <c r="K585" s="56">
        <v>65040</v>
      </c>
      <c r="L585" s="57">
        <v>4</v>
      </c>
      <c r="M585" s="58"/>
    </row>
    <row r="586" spans="1:13" x14ac:dyDescent="0.25">
      <c r="A586" s="42" t="s">
        <v>876</v>
      </c>
      <c r="B586" s="49" t="s">
        <v>285</v>
      </c>
      <c r="C586" s="42" t="s">
        <v>856</v>
      </c>
      <c r="D586" s="75">
        <v>622200296</v>
      </c>
      <c r="E586" s="76">
        <v>2526306545</v>
      </c>
      <c r="F586" s="42" t="s">
        <v>256</v>
      </c>
      <c r="G586" s="52">
        <v>34686</v>
      </c>
      <c r="H586" s="53" t="str">
        <f t="shared" si="18"/>
        <v>Dec</v>
      </c>
      <c r="I586" s="54">
        <f t="shared" ca="1" si="19"/>
        <v>21</v>
      </c>
      <c r="J586" s="55" t="s">
        <v>257</v>
      </c>
      <c r="K586" s="56">
        <v>78690</v>
      </c>
      <c r="L586" s="57">
        <v>3</v>
      </c>
      <c r="M586" s="58"/>
    </row>
    <row r="587" spans="1:13" x14ac:dyDescent="0.25">
      <c r="A587" s="42" t="s">
        <v>877</v>
      </c>
      <c r="B587" s="49" t="s">
        <v>271</v>
      </c>
      <c r="C587" s="42" t="s">
        <v>856</v>
      </c>
      <c r="D587" s="75">
        <v>863736129</v>
      </c>
      <c r="E587" s="76">
        <v>2522778445</v>
      </c>
      <c r="F587" s="42" t="s">
        <v>261</v>
      </c>
      <c r="G587" s="52">
        <v>36689</v>
      </c>
      <c r="H587" s="53" t="str">
        <f t="shared" si="18"/>
        <v>Jun</v>
      </c>
      <c r="I587" s="54">
        <f t="shared" ca="1" si="19"/>
        <v>16</v>
      </c>
      <c r="J587" s="55" t="s">
        <v>283</v>
      </c>
      <c r="K587" s="56">
        <v>51290</v>
      </c>
      <c r="L587" s="57">
        <v>2</v>
      </c>
      <c r="M587" s="58"/>
    </row>
    <row r="588" spans="1:13" x14ac:dyDescent="0.25">
      <c r="A588" s="42" t="s">
        <v>878</v>
      </c>
      <c r="B588" s="49" t="s">
        <v>285</v>
      </c>
      <c r="C588" s="42" t="s">
        <v>856</v>
      </c>
      <c r="D588" s="75">
        <v>784064156</v>
      </c>
      <c r="E588" s="81">
        <v>9193355152</v>
      </c>
      <c r="F588" s="42" t="s">
        <v>256</v>
      </c>
      <c r="G588" s="52">
        <v>34605</v>
      </c>
      <c r="H588" s="53" t="str">
        <f t="shared" si="18"/>
        <v>Sep</v>
      </c>
      <c r="I588" s="54">
        <f t="shared" ca="1" si="19"/>
        <v>22</v>
      </c>
      <c r="J588" s="55" t="s">
        <v>257</v>
      </c>
      <c r="K588" s="56">
        <v>65800</v>
      </c>
      <c r="L588" s="57">
        <v>1</v>
      </c>
      <c r="M588" s="58"/>
    </row>
    <row r="589" spans="1:13" x14ac:dyDescent="0.25">
      <c r="A589" s="42" t="s">
        <v>879</v>
      </c>
      <c r="B589" s="49" t="s">
        <v>271</v>
      </c>
      <c r="C589" s="42" t="s">
        <v>856</v>
      </c>
      <c r="D589" s="75">
        <v>102159909</v>
      </c>
      <c r="E589" s="76">
        <v>2521868104</v>
      </c>
      <c r="F589" s="42" t="s">
        <v>252</v>
      </c>
      <c r="G589" s="52">
        <v>35346</v>
      </c>
      <c r="H589" s="53" t="str">
        <f t="shared" si="18"/>
        <v>Oct</v>
      </c>
      <c r="I589" s="54">
        <f t="shared" ca="1" si="19"/>
        <v>20</v>
      </c>
      <c r="J589" s="55"/>
      <c r="K589" s="56">
        <v>44150</v>
      </c>
      <c r="L589" s="57">
        <v>4</v>
      </c>
      <c r="M589" s="58"/>
    </row>
    <row r="590" spans="1:13" x14ac:dyDescent="0.25">
      <c r="A590" s="42" t="s">
        <v>880</v>
      </c>
      <c r="B590" s="49" t="s">
        <v>285</v>
      </c>
      <c r="C590" s="42" t="s">
        <v>856</v>
      </c>
      <c r="D590" s="75">
        <v>708082156</v>
      </c>
      <c r="E590" s="76">
        <v>9194919822</v>
      </c>
      <c r="F590" s="42" t="s">
        <v>256</v>
      </c>
      <c r="G590" s="52">
        <v>37313</v>
      </c>
      <c r="H590" s="53" t="str">
        <f t="shared" si="18"/>
        <v>Feb</v>
      </c>
      <c r="I590" s="54">
        <f t="shared" ca="1" si="19"/>
        <v>14</v>
      </c>
      <c r="J590" s="55" t="s">
        <v>257</v>
      </c>
      <c r="K590" s="56">
        <v>83040</v>
      </c>
      <c r="L590" s="57">
        <v>4</v>
      </c>
      <c r="M590" s="58"/>
    </row>
    <row r="591" spans="1:13" x14ac:dyDescent="0.25">
      <c r="A591" s="42" t="s">
        <v>881</v>
      </c>
      <c r="B591" s="49" t="s">
        <v>280</v>
      </c>
      <c r="C591" s="42" t="s">
        <v>856</v>
      </c>
      <c r="D591" s="75">
        <v>614562070</v>
      </c>
      <c r="E591" s="76">
        <v>9192485673</v>
      </c>
      <c r="F591" s="42" t="s">
        <v>261</v>
      </c>
      <c r="G591" s="52">
        <v>38816</v>
      </c>
      <c r="H591" s="53" t="str">
        <f t="shared" si="18"/>
        <v>Apr</v>
      </c>
      <c r="I591" s="54">
        <f t="shared" ca="1" si="19"/>
        <v>10</v>
      </c>
      <c r="J591" s="55" t="s">
        <v>257</v>
      </c>
      <c r="K591" s="56">
        <v>58490</v>
      </c>
      <c r="L591" s="57">
        <v>1</v>
      </c>
      <c r="M591" s="58"/>
    </row>
    <row r="592" spans="1:13" x14ac:dyDescent="0.25">
      <c r="A592" s="42" t="s">
        <v>882</v>
      </c>
      <c r="B592" s="49" t="s">
        <v>271</v>
      </c>
      <c r="C592" s="42" t="s">
        <v>856</v>
      </c>
      <c r="D592" s="75">
        <v>975857784</v>
      </c>
      <c r="E592" s="76">
        <v>9192390604</v>
      </c>
      <c r="F592" s="42" t="s">
        <v>247</v>
      </c>
      <c r="G592" s="52">
        <v>37643</v>
      </c>
      <c r="H592" s="53" t="str">
        <f t="shared" si="18"/>
        <v>Jan</v>
      </c>
      <c r="I592" s="54">
        <f t="shared" ca="1" si="19"/>
        <v>13</v>
      </c>
      <c r="J592" s="55"/>
      <c r="K592" s="56">
        <v>93310</v>
      </c>
      <c r="L592" s="57">
        <v>3</v>
      </c>
      <c r="M592" s="58"/>
    </row>
    <row r="593" spans="1:13" x14ac:dyDescent="0.25">
      <c r="A593" s="42" t="s">
        <v>883</v>
      </c>
      <c r="B593" s="49" t="s">
        <v>285</v>
      </c>
      <c r="C593" s="42" t="s">
        <v>856</v>
      </c>
      <c r="D593" s="75">
        <v>323701315</v>
      </c>
      <c r="E593" s="76">
        <v>9194479196</v>
      </c>
      <c r="F593" s="42" t="s">
        <v>256</v>
      </c>
      <c r="G593" s="52">
        <v>41582</v>
      </c>
      <c r="H593" s="53" t="str">
        <f t="shared" si="18"/>
        <v>Nov</v>
      </c>
      <c r="I593" s="54">
        <f t="shared" ca="1" si="19"/>
        <v>3</v>
      </c>
      <c r="J593" s="55" t="s">
        <v>267</v>
      </c>
      <c r="K593" s="56">
        <v>96310</v>
      </c>
      <c r="L593" s="57">
        <v>3</v>
      </c>
      <c r="M593" s="58"/>
    </row>
    <row r="594" spans="1:13" x14ac:dyDescent="0.25">
      <c r="A594" s="42" t="s">
        <v>884</v>
      </c>
      <c r="B594" s="49" t="s">
        <v>266</v>
      </c>
      <c r="C594" s="42" t="s">
        <v>856</v>
      </c>
      <c r="D594" s="75">
        <v>878902154</v>
      </c>
      <c r="E594" s="76">
        <v>9191155509</v>
      </c>
      <c r="F594" s="42" t="s">
        <v>261</v>
      </c>
      <c r="G594" s="52">
        <v>34891</v>
      </c>
      <c r="H594" s="53" t="str">
        <f t="shared" si="18"/>
        <v>Jul</v>
      </c>
      <c r="I594" s="54">
        <f t="shared" ca="1" si="19"/>
        <v>21</v>
      </c>
      <c r="J594" s="55" t="s">
        <v>283</v>
      </c>
      <c r="K594" s="56">
        <v>31060</v>
      </c>
      <c r="L594" s="57">
        <v>5</v>
      </c>
      <c r="M594" s="58"/>
    </row>
    <row r="595" spans="1:13" x14ac:dyDescent="0.25">
      <c r="A595" s="42" t="s">
        <v>885</v>
      </c>
      <c r="B595" s="49" t="s">
        <v>271</v>
      </c>
      <c r="C595" s="42" t="s">
        <v>856</v>
      </c>
      <c r="D595" s="75">
        <v>562497973</v>
      </c>
      <c r="E595" s="76">
        <v>2524111882</v>
      </c>
      <c r="F595" s="42" t="s">
        <v>256</v>
      </c>
      <c r="G595" s="52">
        <v>36357</v>
      </c>
      <c r="H595" s="53" t="str">
        <f t="shared" si="18"/>
        <v>Jul</v>
      </c>
      <c r="I595" s="54">
        <f t="shared" ca="1" si="19"/>
        <v>17</v>
      </c>
      <c r="J595" s="55" t="s">
        <v>262</v>
      </c>
      <c r="K595" s="56">
        <v>75640</v>
      </c>
      <c r="L595" s="57">
        <v>1</v>
      </c>
      <c r="M595" s="58"/>
    </row>
    <row r="596" spans="1:13" x14ac:dyDescent="0.25">
      <c r="A596" s="42" t="s">
        <v>886</v>
      </c>
      <c r="B596" s="49" t="s">
        <v>285</v>
      </c>
      <c r="C596" s="42" t="s">
        <v>856</v>
      </c>
      <c r="D596" s="75">
        <v>331251341</v>
      </c>
      <c r="E596" s="76">
        <v>2528678875</v>
      </c>
      <c r="F596" s="42" t="s">
        <v>256</v>
      </c>
      <c r="G596" s="52">
        <v>36897</v>
      </c>
      <c r="H596" s="53" t="str">
        <f t="shared" si="18"/>
        <v>Jan</v>
      </c>
      <c r="I596" s="54">
        <f t="shared" ca="1" si="19"/>
        <v>15</v>
      </c>
      <c r="J596" s="55" t="s">
        <v>283</v>
      </c>
      <c r="K596" s="56">
        <v>84340</v>
      </c>
      <c r="L596" s="57">
        <v>3</v>
      </c>
      <c r="M596" s="58"/>
    </row>
    <row r="597" spans="1:13" x14ac:dyDescent="0.25">
      <c r="A597" s="42" t="s">
        <v>887</v>
      </c>
      <c r="B597" s="49" t="s">
        <v>266</v>
      </c>
      <c r="C597" s="42" t="s">
        <v>856</v>
      </c>
      <c r="D597" s="75">
        <v>687623890</v>
      </c>
      <c r="E597" s="76">
        <v>2522447501</v>
      </c>
      <c r="F597" s="42" t="s">
        <v>252</v>
      </c>
      <c r="G597" s="52">
        <v>36035</v>
      </c>
      <c r="H597" s="53" t="str">
        <f t="shared" si="18"/>
        <v>Aug</v>
      </c>
      <c r="I597" s="54">
        <f t="shared" ca="1" si="19"/>
        <v>18</v>
      </c>
      <c r="J597" s="55"/>
      <c r="K597" s="56">
        <v>28430</v>
      </c>
      <c r="L597" s="57">
        <v>4</v>
      </c>
      <c r="M597" s="58"/>
    </row>
    <row r="598" spans="1:13" x14ac:dyDescent="0.25">
      <c r="A598" s="42" t="s">
        <v>888</v>
      </c>
      <c r="B598" s="49" t="s">
        <v>285</v>
      </c>
      <c r="C598" s="42" t="s">
        <v>856</v>
      </c>
      <c r="D598" s="75">
        <v>351003584</v>
      </c>
      <c r="E598" s="76">
        <v>2524269081</v>
      </c>
      <c r="F598" s="42" t="s">
        <v>247</v>
      </c>
      <c r="G598" s="52">
        <v>37215</v>
      </c>
      <c r="H598" s="53" t="str">
        <f t="shared" si="18"/>
        <v>Nov</v>
      </c>
      <c r="I598" s="54">
        <f t="shared" ca="1" si="19"/>
        <v>14</v>
      </c>
      <c r="J598" s="55"/>
      <c r="K598" s="56">
        <v>63970</v>
      </c>
      <c r="L598" s="57">
        <v>5</v>
      </c>
      <c r="M598" s="58"/>
    </row>
    <row r="599" spans="1:13" x14ac:dyDescent="0.25">
      <c r="A599" s="42" t="s">
        <v>889</v>
      </c>
      <c r="B599" s="49" t="s">
        <v>285</v>
      </c>
      <c r="C599" s="42" t="s">
        <v>856</v>
      </c>
      <c r="D599" s="75">
        <v>693055639</v>
      </c>
      <c r="E599" s="76">
        <v>9195866887</v>
      </c>
      <c r="F599" s="42" t="s">
        <v>256</v>
      </c>
      <c r="G599" s="52">
        <v>34223</v>
      </c>
      <c r="H599" s="53" t="str">
        <f t="shared" si="18"/>
        <v>Sep</v>
      </c>
      <c r="I599" s="54">
        <f t="shared" ca="1" si="19"/>
        <v>23</v>
      </c>
      <c r="J599" s="55" t="s">
        <v>257</v>
      </c>
      <c r="K599" s="56">
        <v>64680</v>
      </c>
      <c r="L599" s="57">
        <v>5</v>
      </c>
      <c r="M599" s="58"/>
    </row>
    <row r="600" spans="1:13" x14ac:dyDescent="0.25">
      <c r="A600" s="42" t="s">
        <v>890</v>
      </c>
      <c r="B600" s="49" t="s">
        <v>271</v>
      </c>
      <c r="C600" s="42" t="s">
        <v>856</v>
      </c>
      <c r="D600" s="75">
        <v>277925508</v>
      </c>
      <c r="E600" s="76">
        <v>2526584511</v>
      </c>
      <c r="F600" s="42" t="s">
        <v>256</v>
      </c>
      <c r="G600" s="52">
        <v>36374</v>
      </c>
      <c r="H600" s="53" t="str">
        <f t="shared" si="18"/>
        <v>Aug</v>
      </c>
      <c r="I600" s="54">
        <f t="shared" ca="1" si="19"/>
        <v>17</v>
      </c>
      <c r="J600" s="55" t="s">
        <v>283</v>
      </c>
      <c r="K600" s="56">
        <v>79730</v>
      </c>
      <c r="L600" s="57">
        <v>3</v>
      </c>
      <c r="M600" s="58"/>
    </row>
    <row r="601" spans="1:13" x14ac:dyDescent="0.25">
      <c r="A601" s="42" t="s">
        <v>891</v>
      </c>
      <c r="B601" s="49" t="s">
        <v>271</v>
      </c>
      <c r="C601" s="42" t="s">
        <v>856</v>
      </c>
      <c r="D601" s="75">
        <v>750581894</v>
      </c>
      <c r="E601" s="76">
        <v>2528433766</v>
      </c>
      <c r="F601" s="42" t="s">
        <v>247</v>
      </c>
      <c r="G601" s="52">
        <v>41351</v>
      </c>
      <c r="H601" s="53" t="str">
        <f t="shared" si="18"/>
        <v>Mar</v>
      </c>
      <c r="I601" s="54">
        <f t="shared" ca="1" si="19"/>
        <v>3</v>
      </c>
      <c r="J601" s="55"/>
      <c r="K601" s="56">
        <v>25900</v>
      </c>
      <c r="L601" s="57">
        <v>3</v>
      </c>
      <c r="M601" s="58"/>
    </row>
    <row r="602" spans="1:13" x14ac:dyDescent="0.25">
      <c r="A602" s="42" t="s">
        <v>892</v>
      </c>
      <c r="B602" s="49" t="s">
        <v>280</v>
      </c>
      <c r="C602" s="42" t="s">
        <v>856</v>
      </c>
      <c r="D602" s="75">
        <v>491830893</v>
      </c>
      <c r="E602" s="76">
        <v>2524713634</v>
      </c>
      <c r="F602" s="42" t="s">
        <v>256</v>
      </c>
      <c r="G602" s="52">
        <v>41079</v>
      </c>
      <c r="H602" s="53" t="str">
        <f t="shared" si="18"/>
        <v>Jun</v>
      </c>
      <c r="I602" s="54">
        <f t="shared" ca="1" si="19"/>
        <v>4</v>
      </c>
      <c r="J602" s="55" t="s">
        <v>283</v>
      </c>
      <c r="K602" s="56">
        <v>27830</v>
      </c>
      <c r="L602" s="57">
        <v>5</v>
      </c>
      <c r="M602" s="58"/>
    </row>
    <row r="603" spans="1:13" x14ac:dyDescent="0.25">
      <c r="A603" s="42" t="s">
        <v>893</v>
      </c>
      <c r="B603" s="49" t="s">
        <v>280</v>
      </c>
      <c r="C603" s="42" t="s">
        <v>856</v>
      </c>
      <c r="D603" s="75">
        <v>666194498</v>
      </c>
      <c r="E603" s="76">
        <v>2526593848</v>
      </c>
      <c r="F603" s="42" t="s">
        <v>256</v>
      </c>
      <c r="G603" s="52">
        <v>39354</v>
      </c>
      <c r="H603" s="53" t="str">
        <f t="shared" si="18"/>
        <v>Sep</v>
      </c>
      <c r="I603" s="54">
        <f t="shared" ca="1" si="19"/>
        <v>9</v>
      </c>
      <c r="J603" s="55" t="s">
        <v>283</v>
      </c>
      <c r="K603" s="56">
        <v>100450</v>
      </c>
      <c r="L603" s="57">
        <v>3</v>
      </c>
      <c r="M603" s="58"/>
    </row>
    <row r="604" spans="1:13" x14ac:dyDescent="0.25">
      <c r="A604" s="42" t="s">
        <v>894</v>
      </c>
      <c r="B604" s="49" t="s">
        <v>245</v>
      </c>
      <c r="C604" s="42" t="s">
        <v>856</v>
      </c>
      <c r="D604" s="75">
        <v>352371400</v>
      </c>
      <c r="E604" s="81">
        <v>2525441252</v>
      </c>
      <c r="F604" s="42" t="s">
        <v>252</v>
      </c>
      <c r="G604" s="52">
        <v>34257</v>
      </c>
      <c r="H604" s="53" t="str">
        <f t="shared" si="18"/>
        <v>Oct</v>
      </c>
      <c r="I604" s="54">
        <f t="shared" ca="1" si="19"/>
        <v>23</v>
      </c>
      <c r="J604" s="55"/>
      <c r="K604" s="56">
        <v>36560</v>
      </c>
      <c r="L604" s="57">
        <v>2</v>
      </c>
      <c r="M604" s="58"/>
    </row>
    <row r="605" spans="1:13" x14ac:dyDescent="0.25">
      <c r="A605" s="42" t="s">
        <v>895</v>
      </c>
      <c r="B605" s="49" t="s">
        <v>271</v>
      </c>
      <c r="C605" s="42" t="s">
        <v>856</v>
      </c>
      <c r="D605" s="75">
        <v>836953739</v>
      </c>
      <c r="E605" s="76">
        <v>2526443692</v>
      </c>
      <c r="F605" s="42" t="s">
        <v>261</v>
      </c>
      <c r="G605" s="52">
        <v>37532</v>
      </c>
      <c r="H605" s="53" t="str">
        <f t="shared" si="18"/>
        <v>Oct</v>
      </c>
      <c r="I605" s="54">
        <f t="shared" ca="1" si="19"/>
        <v>14</v>
      </c>
      <c r="J605" s="55" t="s">
        <v>267</v>
      </c>
      <c r="K605" s="56">
        <v>25190</v>
      </c>
      <c r="L605" s="57">
        <v>4</v>
      </c>
      <c r="M605" s="58"/>
    </row>
    <row r="606" spans="1:13" x14ac:dyDescent="0.25">
      <c r="A606" s="42" t="s">
        <v>896</v>
      </c>
      <c r="B606" s="49" t="s">
        <v>271</v>
      </c>
      <c r="C606" s="42" t="s">
        <v>856</v>
      </c>
      <c r="D606" s="75">
        <v>304024314</v>
      </c>
      <c r="E606" s="76">
        <v>9192244880</v>
      </c>
      <c r="F606" s="42" t="s">
        <v>247</v>
      </c>
      <c r="G606" s="52">
        <v>34422</v>
      </c>
      <c r="H606" s="53" t="str">
        <f t="shared" si="18"/>
        <v>Mar</v>
      </c>
      <c r="I606" s="54">
        <f t="shared" ca="1" si="19"/>
        <v>22</v>
      </c>
      <c r="J606" s="55"/>
      <c r="K606" s="56">
        <v>55980</v>
      </c>
      <c r="L606" s="57">
        <v>2</v>
      </c>
      <c r="M606" s="58"/>
    </row>
    <row r="607" spans="1:13" x14ac:dyDescent="0.25">
      <c r="A607" s="42" t="s">
        <v>897</v>
      </c>
      <c r="B607" s="49" t="s">
        <v>285</v>
      </c>
      <c r="C607" s="42" t="s">
        <v>856</v>
      </c>
      <c r="D607" s="75">
        <v>750722934</v>
      </c>
      <c r="E607" s="76">
        <v>2523631883</v>
      </c>
      <c r="F607" s="42" t="s">
        <v>256</v>
      </c>
      <c r="G607" s="52">
        <v>36570</v>
      </c>
      <c r="H607" s="53" t="str">
        <f t="shared" si="18"/>
        <v>Feb</v>
      </c>
      <c r="I607" s="54">
        <f t="shared" ca="1" si="19"/>
        <v>16</v>
      </c>
      <c r="J607" s="55" t="s">
        <v>283</v>
      </c>
      <c r="K607" s="56">
        <v>45320</v>
      </c>
      <c r="L607" s="57">
        <v>5</v>
      </c>
      <c r="M607" s="58"/>
    </row>
    <row r="608" spans="1:13" x14ac:dyDescent="0.25">
      <c r="A608" s="42" t="s">
        <v>898</v>
      </c>
      <c r="B608" s="49" t="s">
        <v>271</v>
      </c>
      <c r="C608" s="42" t="s">
        <v>856</v>
      </c>
      <c r="D608" s="75">
        <v>404589373</v>
      </c>
      <c r="E608" s="76">
        <v>9198407416</v>
      </c>
      <c r="F608" s="42" t="s">
        <v>256</v>
      </c>
      <c r="G608" s="52">
        <v>35029</v>
      </c>
      <c r="H608" s="53" t="str">
        <f t="shared" si="18"/>
        <v>Nov</v>
      </c>
      <c r="I608" s="54">
        <f t="shared" ca="1" si="19"/>
        <v>20</v>
      </c>
      <c r="J608" s="55" t="s">
        <v>283</v>
      </c>
      <c r="K608" s="56">
        <v>80190</v>
      </c>
      <c r="L608" s="57">
        <v>2</v>
      </c>
      <c r="M608" s="58"/>
    </row>
    <row r="609" spans="1:13" x14ac:dyDescent="0.25">
      <c r="A609" s="42" t="s">
        <v>899</v>
      </c>
      <c r="B609" s="49" t="s">
        <v>245</v>
      </c>
      <c r="C609" s="42" t="s">
        <v>856</v>
      </c>
      <c r="D609" s="75">
        <v>291274360</v>
      </c>
      <c r="E609" s="76">
        <v>2524563177</v>
      </c>
      <c r="F609" s="42" t="s">
        <v>256</v>
      </c>
      <c r="G609" s="52">
        <v>37082</v>
      </c>
      <c r="H609" s="53" t="str">
        <f t="shared" si="18"/>
        <v>Jul</v>
      </c>
      <c r="I609" s="54">
        <f t="shared" ca="1" si="19"/>
        <v>15</v>
      </c>
      <c r="J609" s="55" t="s">
        <v>283</v>
      </c>
      <c r="K609" s="56">
        <v>80890</v>
      </c>
      <c r="L609" s="57">
        <v>5</v>
      </c>
      <c r="M609" s="58"/>
    </row>
    <row r="610" spans="1:13" x14ac:dyDescent="0.25">
      <c r="A610" s="42" t="s">
        <v>900</v>
      </c>
      <c r="B610" s="49" t="s">
        <v>245</v>
      </c>
      <c r="C610" s="42" t="s">
        <v>856</v>
      </c>
      <c r="D610" s="75">
        <v>221347766</v>
      </c>
      <c r="E610" s="76">
        <v>2526853122</v>
      </c>
      <c r="F610" s="42" t="s">
        <v>247</v>
      </c>
      <c r="G610" s="52">
        <v>37071</v>
      </c>
      <c r="H610" s="53" t="str">
        <f t="shared" si="18"/>
        <v>Jun</v>
      </c>
      <c r="I610" s="54">
        <f t="shared" ca="1" si="19"/>
        <v>15</v>
      </c>
      <c r="J610" s="55"/>
      <c r="K610" s="56">
        <v>70860</v>
      </c>
      <c r="L610" s="57">
        <v>4</v>
      </c>
      <c r="M610" s="58"/>
    </row>
    <row r="611" spans="1:13" x14ac:dyDescent="0.25">
      <c r="A611" s="42" t="s">
        <v>901</v>
      </c>
      <c r="B611" s="49" t="s">
        <v>271</v>
      </c>
      <c r="C611" s="42" t="s">
        <v>856</v>
      </c>
      <c r="D611" s="75">
        <v>718930584</v>
      </c>
      <c r="E611" s="76">
        <v>9195804771</v>
      </c>
      <c r="F611" s="42" t="s">
        <v>261</v>
      </c>
      <c r="G611" s="52">
        <v>37197</v>
      </c>
      <c r="H611" s="53" t="str">
        <f t="shared" si="18"/>
        <v>Nov</v>
      </c>
      <c r="I611" s="54">
        <f t="shared" ca="1" si="19"/>
        <v>15</v>
      </c>
      <c r="J611" s="55" t="s">
        <v>257</v>
      </c>
      <c r="K611" s="56">
        <v>41980</v>
      </c>
      <c r="L611" s="57">
        <v>2</v>
      </c>
      <c r="M611" s="58"/>
    </row>
    <row r="612" spans="1:13" x14ac:dyDescent="0.25">
      <c r="A612" s="42" t="s">
        <v>902</v>
      </c>
      <c r="B612" s="49" t="s">
        <v>271</v>
      </c>
      <c r="C612" s="42" t="s">
        <v>856</v>
      </c>
      <c r="D612" s="75">
        <v>644489557</v>
      </c>
      <c r="E612" s="76">
        <v>2526532463</v>
      </c>
      <c r="F612" s="42" t="s">
        <v>256</v>
      </c>
      <c r="G612" s="52">
        <v>37013</v>
      </c>
      <c r="H612" s="53" t="str">
        <f t="shared" si="18"/>
        <v>May</v>
      </c>
      <c r="I612" s="54">
        <f t="shared" ca="1" si="19"/>
        <v>15</v>
      </c>
      <c r="J612" s="55" t="s">
        <v>262</v>
      </c>
      <c r="K612" s="56">
        <v>94740</v>
      </c>
      <c r="L612" s="57">
        <v>1</v>
      </c>
      <c r="M612" s="58"/>
    </row>
    <row r="613" spans="1:13" x14ac:dyDescent="0.25">
      <c r="A613" s="42" t="s">
        <v>903</v>
      </c>
      <c r="B613" s="49" t="s">
        <v>271</v>
      </c>
      <c r="C613" s="42" t="s">
        <v>856</v>
      </c>
      <c r="D613" s="75">
        <v>180832423</v>
      </c>
      <c r="E613" s="76">
        <v>9198097539</v>
      </c>
      <c r="F613" s="42" t="s">
        <v>256</v>
      </c>
      <c r="G613" s="52">
        <v>37079</v>
      </c>
      <c r="H613" s="53" t="str">
        <f t="shared" si="18"/>
        <v>Jul</v>
      </c>
      <c r="I613" s="54">
        <f t="shared" ca="1" si="19"/>
        <v>15</v>
      </c>
      <c r="J613" s="55" t="s">
        <v>276</v>
      </c>
      <c r="K613" s="56">
        <v>95530</v>
      </c>
      <c r="L613" s="57">
        <v>2</v>
      </c>
      <c r="M613" s="58"/>
    </row>
    <row r="614" spans="1:13" x14ac:dyDescent="0.25">
      <c r="A614" s="42" t="s">
        <v>904</v>
      </c>
      <c r="B614" s="49" t="s">
        <v>266</v>
      </c>
      <c r="C614" s="42" t="s">
        <v>856</v>
      </c>
      <c r="D614" s="75">
        <v>781472289</v>
      </c>
      <c r="E614" s="76">
        <v>2528502926</v>
      </c>
      <c r="F614" s="42" t="s">
        <v>256</v>
      </c>
      <c r="G614" s="52">
        <v>34549</v>
      </c>
      <c r="H614" s="53" t="str">
        <f t="shared" si="18"/>
        <v>Aug</v>
      </c>
      <c r="I614" s="54">
        <f t="shared" ca="1" si="19"/>
        <v>22</v>
      </c>
      <c r="J614" s="55" t="s">
        <v>283</v>
      </c>
      <c r="K614" s="56">
        <v>75660</v>
      </c>
      <c r="L614" s="57">
        <v>3</v>
      </c>
      <c r="M614" s="58"/>
    </row>
    <row r="615" spans="1:13" x14ac:dyDescent="0.25">
      <c r="A615" s="42" t="s">
        <v>905</v>
      </c>
      <c r="B615" s="49" t="s">
        <v>245</v>
      </c>
      <c r="C615" s="42" t="s">
        <v>856</v>
      </c>
      <c r="D615" s="75">
        <v>855135948</v>
      </c>
      <c r="E615" s="76">
        <v>9196408497</v>
      </c>
      <c r="F615" s="42" t="s">
        <v>256</v>
      </c>
      <c r="G615" s="52">
        <v>40816</v>
      </c>
      <c r="H615" s="53" t="str">
        <f t="shared" si="18"/>
        <v>Sep</v>
      </c>
      <c r="I615" s="54">
        <f t="shared" ca="1" si="19"/>
        <v>5</v>
      </c>
      <c r="J615" s="55" t="s">
        <v>283</v>
      </c>
      <c r="K615" s="56">
        <v>86470</v>
      </c>
      <c r="L615" s="57">
        <v>2</v>
      </c>
      <c r="M615" s="58"/>
    </row>
    <row r="616" spans="1:13" x14ac:dyDescent="0.25">
      <c r="A616" s="42" t="s">
        <v>906</v>
      </c>
      <c r="B616" s="49" t="s">
        <v>280</v>
      </c>
      <c r="C616" s="42" t="s">
        <v>856</v>
      </c>
      <c r="D616" s="75">
        <v>531654742</v>
      </c>
      <c r="E616" s="76">
        <v>9195770085</v>
      </c>
      <c r="F616" s="42" t="s">
        <v>256</v>
      </c>
      <c r="G616" s="52">
        <v>38794</v>
      </c>
      <c r="H616" s="53" t="str">
        <f t="shared" si="18"/>
        <v>Mar</v>
      </c>
      <c r="I616" s="54">
        <f t="shared" ca="1" si="19"/>
        <v>10</v>
      </c>
      <c r="J616" s="55" t="s">
        <v>257</v>
      </c>
      <c r="K616" s="56">
        <v>35050</v>
      </c>
      <c r="L616" s="57">
        <v>5</v>
      </c>
      <c r="M616" s="58"/>
    </row>
    <row r="617" spans="1:13" x14ac:dyDescent="0.25">
      <c r="A617" s="42" t="s">
        <v>907</v>
      </c>
      <c r="B617" s="49" t="s">
        <v>251</v>
      </c>
      <c r="C617" s="42" t="s">
        <v>856</v>
      </c>
      <c r="D617" s="75">
        <v>593584018</v>
      </c>
      <c r="E617" s="76">
        <v>9194626281</v>
      </c>
      <c r="F617" s="42" t="s">
        <v>256</v>
      </c>
      <c r="G617" s="52">
        <v>34455</v>
      </c>
      <c r="H617" s="53" t="str">
        <f t="shared" si="18"/>
        <v>May</v>
      </c>
      <c r="I617" s="54">
        <f t="shared" ca="1" si="19"/>
        <v>22</v>
      </c>
      <c r="J617" s="55" t="s">
        <v>257</v>
      </c>
      <c r="K617" s="56">
        <v>81500</v>
      </c>
      <c r="L617" s="57">
        <v>4</v>
      </c>
      <c r="M617" s="58"/>
    </row>
    <row r="618" spans="1:13" x14ac:dyDescent="0.25">
      <c r="A618" s="42" t="s">
        <v>908</v>
      </c>
      <c r="B618" s="49" t="s">
        <v>285</v>
      </c>
      <c r="C618" s="42" t="s">
        <v>856</v>
      </c>
      <c r="D618" s="75">
        <v>195772503</v>
      </c>
      <c r="E618" s="76">
        <v>9193123940</v>
      </c>
      <c r="F618" s="42" t="s">
        <v>247</v>
      </c>
      <c r="G618" s="52">
        <v>34915</v>
      </c>
      <c r="H618" s="53" t="str">
        <f t="shared" si="18"/>
        <v>Aug</v>
      </c>
      <c r="I618" s="54">
        <f t="shared" ca="1" si="19"/>
        <v>21</v>
      </c>
      <c r="J618" s="55"/>
      <c r="K618" s="56">
        <v>66830</v>
      </c>
      <c r="L618" s="57">
        <v>2</v>
      </c>
      <c r="M618" s="58"/>
    </row>
    <row r="619" spans="1:13" x14ac:dyDescent="0.25">
      <c r="A619" s="42" t="s">
        <v>909</v>
      </c>
      <c r="B619" s="49" t="s">
        <v>285</v>
      </c>
      <c r="C619" s="42" t="s">
        <v>856</v>
      </c>
      <c r="D619" s="75">
        <v>693965055</v>
      </c>
      <c r="E619" s="76">
        <v>2527853314</v>
      </c>
      <c r="F619" s="42" t="s">
        <v>256</v>
      </c>
      <c r="G619" s="52">
        <v>34712</v>
      </c>
      <c r="H619" s="53" t="str">
        <f t="shared" si="18"/>
        <v>Jan</v>
      </c>
      <c r="I619" s="54">
        <f t="shared" ca="1" si="19"/>
        <v>21</v>
      </c>
      <c r="J619" s="55" t="s">
        <v>257</v>
      </c>
      <c r="K619" s="56">
        <v>82160</v>
      </c>
      <c r="L619" s="57">
        <v>4</v>
      </c>
      <c r="M619" s="58"/>
    </row>
    <row r="620" spans="1:13" x14ac:dyDescent="0.25">
      <c r="A620" s="42" t="s">
        <v>910</v>
      </c>
      <c r="B620" s="49" t="s">
        <v>245</v>
      </c>
      <c r="C620" s="42" t="s">
        <v>856</v>
      </c>
      <c r="D620" s="75">
        <v>649292883</v>
      </c>
      <c r="E620" s="76">
        <v>9198413896</v>
      </c>
      <c r="F620" s="42" t="s">
        <v>256</v>
      </c>
      <c r="G620" s="52">
        <v>39238</v>
      </c>
      <c r="H620" s="53" t="str">
        <f t="shared" si="18"/>
        <v>Jun</v>
      </c>
      <c r="I620" s="54">
        <f t="shared" ca="1" si="19"/>
        <v>9</v>
      </c>
      <c r="J620" s="55" t="s">
        <v>283</v>
      </c>
      <c r="K620" s="56">
        <v>38290</v>
      </c>
      <c r="L620" s="57">
        <v>5</v>
      </c>
      <c r="M620" s="58"/>
    </row>
    <row r="621" spans="1:13" x14ac:dyDescent="0.25">
      <c r="A621" s="42" t="s">
        <v>911</v>
      </c>
      <c r="B621" s="49" t="s">
        <v>280</v>
      </c>
      <c r="C621" s="42" t="s">
        <v>856</v>
      </c>
      <c r="D621" s="75">
        <v>619456809</v>
      </c>
      <c r="E621" s="76">
        <v>9196865606</v>
      </c>
      <c r="F621" s="42" t="s">
        <v>261</v>
      </c>
      <c r="G621" s="52">
        <v>36843</v>
      </c>
      <c r="H621" s="53" t="str">
        <f t="shared" si="18"/>
        <v>Nov</v>
      </c>
      <c r="I621" s="54">
        <f t="shared" ca="1" si="19"/>
        <v>15</v>
      </c>
      <c r="J621" s="55" t="s">
        <v>267</v>
      </c>
      <c r="K621" s="56">
        <v>47440</v>
      </c>
      <c r="L621" s="57">
        <v>5</v>
      </c>
      <c r="M621" s="58"/>
    </row>
    <row r="622" spans="1:13" x14ac:dyDescent="0.25">
      <c r="A622" s="42" t="s">
        <v>912</v>
      </c>
      <c r="B622" s="49" t="s">
        <v>245</v>
      </c>
      <c r="C622" s="42" t="s">
        <v>856</v>
      </c>
      <c r="D622" s="75">
        <v>426014550</v>
      </c>
      <c r="E622" s="76">
        <v>2522889182</v>
      </c>
      <c r="F622" s="42" t="s">
        <v>256</v>
      </c>
      <c r="G622" s="52">
        <v>36452</v>
      </c>
      <c r="H622" s="53" t="str">
        <f t="shared" si="18"/>
        <v>Oct</v>
      </c>
      <c r="I622" s="54">
        <f t="shared" ca="1" si="19"/>
        <v>17</v>
      </c>
      <c r="J622" s="55" t="s">
        <v>276</v>
      </c>
      <c r="K622" s="56">
        <v>75560</v>
      </c>
      <c r="L622" s="57">
        <v>1</v>
      </c>
      <c r="M622" s="58"/>
    </row>
    <row r="623" spans="1:13" x14ac:dyDescent="0.25">
      <c r="A623" s="42" t="s">
        <v>913</v>
      </c>
      <c r="B623" s="49" t="s">
        <v>245</v>
      </c>
      <c r="C623" s="42" t="s">
        <v>856</v>
      </c>
      <c r="D623" s="75">
        <v>288741910</v>
      </c>
      <c r="E623" s="76">
        <v>2522842668</v>
      </c>
      <c r="F623" s="42" t="s">
        <v>256</v>
      </c>
      <c r="G623" s="52">
        <v>37361</v>
      </c>
      <c r="H623" s="53" t="str">
        <f t="shared" si="18"/>
        <v>Apr</v>
      </c>
      <c r="I623" s="54">
        <f t="shared" ca="1" si="19"/>
        <v>14</v>
      </c>
      <c r="J623" s="55" t="s">
        <v>283</v>
      </c>
      <c r="K623" s="56">
        <v>80420</v>
      </c>
      <c r="L623" s="57">
        <v>1</v>
      </c>
      <c r="M623" s="58"/>
    </row>
    <row r="624" spans="1:13" x14ac:dyDescent="0.25">
      <c r="A624" s="42" t="s">
        <v>914</v>
      </c>
      <c r="B624" s="49" t="s">
        <v>245</v>
      </c>
      <c r="C624" s="42" t="s">
        <v>856</v>
      </c>
      <c r="D624" s="75">
        <v>357568979</v>
      </c>
      <c r="E624" s="76">
        <v>2524316324</v>
      </c>
      <c r="F624" s="42" t="s">
        <v>261</v>
      </c>
      <c r="G624" s="52">
        <v>38776</v>
      </c>
      <c r="H624" s="53" t="str">
        <f t="shared" si="18"/>
        <v>Feb</v>
      </c>
      <c r="I624" s="54">
        <f t="shared" ca="1" si="19"/>
        <v>10</v>
      </c>
      <c r="J624" s="55" t="s">
        <v>262</v>
      </c>
      <c r="K624" s="56">
        <v>34230</v>
      </c>
      <c r="L624" s="57">
        <v>4</v>
      </c>
      <c r="M624" s="58"/>
    </row>
    <row r="625" spans="1:13" x14ac:dyDescent="0.25">
      <c r="A625" s="42" t="s">
        <v>915</v>
      </c>
      <c r="B625" s="49" t="s">
        <v>285</v>
      </c>
      <c r="C625" s="42" t="s">
        <v>856</v>
      </c>
      <c r="D625" s="75">
        <v>393973492</v>
      </c>
      <c r="E625" s="76">
        <v>2522869792</v>
      </c>
      <c r="F625" s="42" t="s">
        <v>261</v>
      </c>
      <c r="G625" s="52">
        <v>37424</v>
      </c>
      <c r="H625" s="53" t="str">
        <f t="shared" si="18"/>
        <v>Jun</v>
      </c>
      <c r="I625" s="54">
        <f t="shared" ca="1" si="19"/>
        <v>14</v>
      </c>
      <c r="J625" s="55" t="s">
        <v>276</v>
      </c>
      <c r="K625" s="56">
        <v>56820</v>
      </c>
      <c r="L625" s="57">
        <v>1</v>
      </c>
      <c r="M625" s="58"/>
    </row>
    <row r="626" spans="1:13" x14ac:dyDescent="0.25">
      <c r="A626" s="42" t="s">
        <v>916</v>
      </c>
      <c r="B626" s="49" t="s">
        <v>285</v>
      </c>
      <c r="C626" s="42" t="s">
        <v>856</v>
      </c>
      <c r="D626" s="75">
        <v>744830329</v>
      </c>
      <c r="E626" s="76">
        <v>9196098293</v>
      </c>
      <c r="F626" s="42" t="s">
        <v>256</v>
      </c>
      <c r="G626" s="52">
        <v>35801</v>
      </c>
      <c r="H626" s="53" t="str">
        <f t="shared" si="18"/>
        <v>Jan</v>
      </c>
      <c r="I626" s="54">
        <f t="shared" ca="1" si="19"/>
        <v>18</v>
      </c>
      <c r="J626" s="55" t="s">
        <v>262</v>
      </c>
      <c r="K626" s="56">
        <v>99240</v>
      </c>
      <c r="L626" s="57">
        <v>3</v>
      </c>
      <c r="M626" s="58"/>
    </row>
    <row r="627" spans="1:13" x14ac:dyDescent="0.25">
      <c r="A627" s="42" t="s">
        <v>917</v>
      </c>
      <c r="B627" s="49" t="s">
        <v>285</v>
      </c>
      <c r="C627" s="42" t="s">
        <v>856</v>
      </c>
      <c r="D627" s="75">
        <v>125540405</v>
      </c>
      <c r="E627" s="76">
        <v>2524589262</v>
      </c>
      <c r="F627" s="42" t="s">
        <v>256</v>
      </c>
      <c r="G627" s="52">
        <v>37246</v>
      </c>
      <c r="H627" s="53" t="str">
        <f t="shared" si="18"/>
        <v>Dec</v>
      </c>
      <c r="I627" s="54">
        <f t="shared" ca="1" si="19"/>
        <v>14</v>
      </c>
      <c r="J627" s="55" t="s">
        <v>257</v>
      </c>
      <c r="K627" s="56">
        <v>70090</v>
      </c>
      <c r="L627" s="57">
        <v>5</v>
      </c>
      <c r="M627" s="58"/>
    </row>
    <row r="628" spans="1:13" x14ac:dyDescent="0.25">
      <c r="A628" s="42" t="s">
        <v>918</v>
      </c>
      <c r="B628" s="49" t="s">
        <v>251</v>
      </c>
      <c r="C628" s="42" t="s">
        <v>856</v>
      </c>
      <c r="D628" s="75">
        <v>626501093</v>
      </c>
      <c r="E628" s="76">
        <v>9192822520</v>
      </c>
      <c r="F628" s="42" t="s">
        <v>247</v>
      </c>
      <c r="G628" s="52">
        <v>39028</v>
      </c>
      <c r="H628" s="53" t="str">
        <f t="shared" si="18"/>
        <v>Nov</v>
      </c>
      <c r="I628" s="54">
        <f t="shared" ca="1" si="19"/>
        <v>10</v>
      </c>
      <c r="J628" s="55"/>
      <c r="K628" s="56">
        <v>77510</v>
      </c>
      <c r="L628" s="57">
        <v>1</v>
      </c>
      <c r="M628" s="58"/>
    </row>
    <row r="629" spans="1:13" x14ac:dyDescent="0.25">
      <c r="A629" s="42" t="s">
        <v>919</v>
      </c>
      <c r="B629" s="49" t="s">
        <v>245</v>
      </c>
      <c r="C629" s="42" t="s">
        <v>856</v>
      </c>
      <c r="D629" s="75">
        <v>186821354</v>
      </c>
      <c r="E629" s="76">
        <v>2528527032</v>
      </c>
      <c r="F629" s="42" t="s">
        <v>256</v>
      </c>
      <c r="G629" s="52">
        <v>35011</v>
      </c>
      <c r="H629" s="53" t="str">
        <f t="shared" si="18"/>
        <v>Nov</v>
      </c>
      <c r="I629" s="54">
        <f t="shared" ca="1" si="19"/>
        <v>21</v>
      </c>
      <c r="J629" s="55" t="s">
        <v>257</v>
      </c>
      <c r="K629" s="56">
        <v>65120</v>
      </c>
      <c r="L629" s="57">
        <v>3</v>
      </c>
      <c r="M629" s="58"/>
    </row>
    <row r="630" spans="1:13" x14ac:dyDescent="0.25">
      <c r="A630" s="42" t="s">
        <v>920</v>
      </c>
      <c r="B630" s="49" t="s">
        <v>280</v>
      </c>
      <c r="C630" s="42" t="s">
        <v>856</v>
      </c>
      <c r="D630" s="75">
        <v>269873478</v>
      </c>
      <c r="E630" s="76">
        <v>9198244224</v>
      </c>
      <c r="F630" s="42" t="s">
        <v>256</v>
      </c>
      <c r="G630" s="52">
        <v>36716</v>
      </c>
      <c r="H630" s="53" t="str">
        <f t="shared" si="18"/>
        <v>Jul</v>
      </c>
      <c r="I630" s="54">
        <f t="shared" ca="1" si="19"/>
        <v>16</v>
      </c>
      <c r="J630" s="55" t="s">
        <v>283</v>
      </c>
      <c r="K630" s="56">
        <v>38540</v>
      </c>
      <c r="L630" s="57">
        <v>1</v>
      </c>
      <c r="M630" s="58"/>
    </row>
    <row r="631" spans="1:13" x14ac:dyDescent="0.25">
      <c r="A631" s="42" t="s">
        <v>921</v>
      </c>
      <c r="B631" s="49" t="s">
        <v>245</v>
      </c>
      <c r="C631" s="42" t="s">
        <v>856</v>
      </c>
      <c r="D631" s="75">
        <v>518009092</v>
      </c>
      <c r="E631" s="76">
        <v>2528792521</v>
      </c>
      <c r="F631" s="42" t="s">
        <v>252</v>
      </c>
      <c r="G631" s="52">
        <v>36870</v>
      </c>
      <c r="H631" s="53" t="str">
        <f t="shared" si="18"/>
        <v>Dec</v>
      </c>
      <c r="I631" s="54">
        <f t="shared" ca="1" si="19"/>
        <v>15</v>
      </c>
      <c r="J631" s="55"/>
      <c r="K631" s="56">
        <v>21490</v>
      </c>
      <c r="L631" s="57">
        <v>5</v>
      </c>
      <c r="M631" s="58"/>
    </row>
    <row r="632" spans="1:13" x14ac:dyDescent="0.25">
      <c r="A632" s="42" t="s">
        <v>922</v>
      </c>
      <c r="B632" s="49" t="s">
        <v>245</v>
      </c>
      <c r="C632" s="42" t="s">
        <v>856</v>
      </c>
      <c r="D632" s="75">
        <v>765836666</v>
      </c>
      <c r="E632" s="76">
        <v>2525013435</v>
      </c>
      <c r="F632" s="42" t="s">
        <v>256</v>
      </c>
      <c r="G632" s="52">
        <v>40154</v>
      </c>
      <c r="H632" s="53" t="str">
        <f t="shared" si="18"/>
        <v>Dec</v>
      </c>
      <c r="I632" s="54">
        <f t="shared" ca="1" si="19"/>
        <v>6</v>
      </c>
      <c r="J632" s="55" t="s">
        <v>283</v>
      </c>
      <c r="K632" s="56">
        <v>52320</v>
      </c>
      <c r="L632" s="57">
        <v>5</v>
      </c>
      <c r="M632" s="58"/>
    </row>
    <row r="633" spans="1:13" x14ac:dyDescent="0.25">
      <c r="A633" s="42" t="s">
        <v>923</v>
      </c>
      <c r="B633" s="49" t="s">
        <v>285</v>
      </c>
      <c r="C633" s="42" t="s">
        <v>856</v>
      </c>
      <c r="D633" s="75">
        <v>647131956</v>
      </c>
      <c r="E633" s="76">
        <v>2521240785</v>
      </c>
      <c r="F633" s="42" t="s">
        <v>256</v>
      </c>
      <c r="G633" s="52">
        <v>39903</v>
      </c>
      <c r="H633" s="53" t="str">
        <f t="shared" si="18"/>
        <v>Mar</v>
      </c>
      <c r="I633" s="54">
        <f t="shared" ca="1" si="19"/>
        <v>7</v>
      </c>
      <c r="J633" s="55" t="s">
        <v>257</v>
      </c>
      <c r="K633" s="56">
        <v>88270</v>
      </c>
      <c r="L633" s="57">
        <v>3</v>
      </c>
      <c r="M633" s="58"/>
    </row>
    <row r="634" spans="1:13" x14ac:dyDescent="0.25">
      <c r="A634" s="42" t="s">
        <v>924</v>
      </c>
      <c r="B634" s="49" t="s">
        <v>285</v>
      </c>
      <c r="C634" s="42" t="s">
        <v>856</v>
      </c>
      <c r="D634" s="75">
        <v>984881714</v>
      </c>
      <c r="E634" s="76">
        <v>9196973131</v>
      </c>
      <c r="F634" s="42" t="s">
        <v>256</v>
      </c>
      <c r="G634" s="52">
        <v>36409</v>
      </c>
      <c r="H634" s="53" t="str">
        <f t="shared" si="18"/>
        <v>Sep</v>
      </c>
      <c r="I634" s="54">
        <f t="shared" ca="1" si="19"/>
        <v>17</v>
      </c>
      <c r="J634" s="55" t="s">
        <v>283</v>
      </c>
      <c r="K634" s="56">
        <v>41200</v>
      </c>
      <c r="L634" s="57">
        <v>3</v>
      </c>
      <c r="M634" s="58"/>
    </row>
    <row r="635" spans="1:13" x14ac:dyDescent="0.25">
      <c r="A635" s="42" t="s">
        <v>925</v>
      </c>
      <c r="B635" s="49" t="s">
        <v>271</v>
      </c>
      <c r="C635" s="42" t="s">
        <v>856</v>
      </c>
      <c r="D635" s="75">
        <v>627977314</v>
      </c>
      <c r="E635" s="76">
        <v>2521525844</v>
      </c>
      <c r="F635" s="42" t="s">
        <v>256</v>
      </c>
      <c r="G635" s="52">
        <v>34853</v>
      </c>
      <c r="H635" s="53" t="str">
        <f t="shared" si="18"/>
        <v>Jun</v>
      </c>
      <c r="I635" s="54">
        <f t="shared" ca="1" si="19"/>
        <v>21</v>
      </c>
      <c r="J635" s="55" t="s">
        <v>276</v>
      </c>
      <c r="K635" s="56">
        <v>103490</v>
      </c>
      <c r="L635" s="57">
        <v>1</v>
      </c>
      <c r="M635" s="58"/>
    </row>
    <row r="636" spans="1:13" x14ac:dyDescent="0.25">
      <c r="A636" s="42" t="s">
        <v>926</v>
      </c>
      <c r="B636" s="49" t="s">
        <v>251</v>
      </c>
      <c r="C636" s="42" t="s">
        <v>856</v>
      </c>
      <c r="D636" s="75">
        <v>368385341</v>
      </c>
      <c r="E636" s="76">
        <v>9195526537</v>
      </c>
      <c r="F636" s="42" t="s">
        <v>247</v>
      </c>
      <c r="G636" s="52">
        <v>38083</v>
      </c>
      <c r="H636" s="53" t="str">
        <f t="shared" si="18"/>
        <v>Apr</v>
      </c>
      <c r="I636" s="54">
        <f t="shared" ca="1" si="19"/>
        <v>12</v>
      </c>
      <c r="J636" s="55"/>
      <c r="K636" s="56">
        <v>56140</v>
      </c>
      <c r="L636" s="57">
        <v>2</v>
      </c>
      <c r="M636" s="58"/>
    </row>
    <row r="637" spans="1:13" x14ac:dyDescent="0.25">
      <c r="A637" s="42" t="s">
        <v>927</v>
      </c>
      <c r="B637" s="49" t="s">
        <v>271</v>
      </c>
      <c r="C637" s="42" t="s">
        <v>856</v>
      </c>
      <c r="D637" s="75">
        <v>668708287</v>
      </c>
      <c r="E637" s="76">
        <v>9191952821</v>
      </c>
      <c r="F637" s="42" t="s">
        <v>247</v>
      </c>
      <c r="G637" s="52">
        <v>36807</v>
      </c>
      <c r="H637" s="53" t="str">
        <f t="shared" si="18"/>
        <v>Oct</v>
      </c>
      <c r="I637" s="54">
        <f t="shared" ca="1" si="19"/>
        <v>16</v>
      </c>
      <c r="J637" s="55"/>
      <c r="K637" s="56">
        <v>103320</v>
      </c>
      <c r="L637" s="57">
        <v>4</v>
      </c>
      <c r="M637" s="58"/>
    </row>
    <row r="638" spans="1:13" x14ac:dyDescent="0.25">
      <c r="A638" s="42" t="s">
        <v>928</v>
      </c>
      <c r="B638" s="49" t="s">
        <v>271</v>
      </c>
      <c r="C638" s="42" t="s">
        <v>856</v>
      </c>
      <c r="D638" s="75">
        <v>272659955</v>
      </c>
      <c r="E638" s="76">
        <v>9194127875</v>
      </c>
      <c r="F638" s="42" t="s">
        <v>256</v>
      </c>
      <c r="G638" s="52">
        <v>35286</v>
      </c>
      <c r="H638" s="53" t="str">
        <f t="shared" si="18"/>
        <v>Aug</v>
      </c>
      <c r="I638" s="54">
        <f t="shared" ca="1" si="19"/>
        <v>20</v>
      </c>
      <c r="J638" s="55" t="s">
        <v>267</v>
      </c>
      <c r="K638" s="56">
        <v>58190</v>
      </c>
      <c r="L638" s="57">
        <v>2</v>
      </c>
      <c r="M638" s="58"/>
    </row>
    <row r="639" spans="1:13" x14ac:dyDescent="0.25">
      <c r="A639" s="42" t="s">
        <v>929</v>
      </c>
      <c r="B639" s="49" t="s">
        <v>285</v>
      </c>
      <c r="C639" s="42" t="s">
        <v>930</v>
      </c>
      <c r="D639" s="75">
        <v>695198896</v>
      </c>
      <c r="E639" s="76">
        <v>2523533906</v>
      </c>
      <c r="F639" s="42" t="s">
        <v>247</v>
      </c>
      <c r="G639" s="52">
        <v>36827</v>
      </c>
      <c r="H639" s="53" t="str">
        <f t="shared" si="18"/>
        <v>Oct</v>
      </c>
      <c r="I639" s="54">
        <f t="shared" ca="1" si="19"/>
        <v>16</v>
      </c>
      <c r="J639" s="55"/>
      <c r="K639" s="56">
        <v>54040</v>
      </c>
      <c r="L639" s="57">
        <v>3</v>
      </c>
      <c r="M639" s="58"/>
    </row>
    <row r="640" spans="1:13" x14ac:dyDescent="0.25">
      <c r="A640" s="42" t="s">
        <v>931</v>
      </c>
      <c r="B640" s="49" t="s">
        <v>285</v>
      </c>
      <c r="C640" s="42" t="s">
        <v>930</v>
      </c>
      <c r="D640" s="75">
        <v>380304349</v>
      </c>
      <c r="E640" s="76">
        <v>2526129939</v>
      </c>
      <c r="F640" s="42" t="s">
        <v>256</v>
      </c>
      <c r="G640" s="52">
        <v>37550</v>
      </c>
      <c r="H640" s="53" t="str">
        <f t="shared" si="18"/>
        <v>Oct</v>
      </c>
      <c r="I640" s="54">
        <f t="shared" ca="1" si="19"/>
        <v>14</v>
      </c>
      <c r="J640" s="55" t="s">
        <v>283</v>
      </c>
      <c r="K640" s="56">
        <v>42550</v>
      </c>
      <c r="L640" s="57">
        <v>1</v>
      </c>
      <c r="M640" s="58"/>
    </row>
    <row r="641" spans="1:13" x14ac:dyDescent="0.25">
      <c r="A641" s="42" t="s">
        <v>932</v>
      </c>
      <c r="B641" s="49" t="s">
        <v>266</v>
      </c>
      <c r="C641" s="42" t="s">
        <v>930</v>
      </c>
      <c r="D641" s="75">
        <v>758001890</v>
      </c>
      <c r="E641" s="76">
        <v>2521202348</v>
      </c>
      <c r="F641" s="42" t="s">
        <v>261</v>
      </c>
      <c r="G641" s="52">
        <v>36298</v>
      </c>
      <c r="H641" s="53" t="str">
        <f t="shared" si="18"/>
        <v>May</v>
      </c>
      <c r="I641" s="54">
        <f t="shared" ca="1" si="19"/>
        <v>17</v>
      </c>
      <c r="J641" s="55" t="s">
        <v>283</v>
      </c>
      <c r="K641" s="56">
        <v>45730</v>
      </c>
      <c r="L641" s="57">
        <v>2</v>
      </c>
      <c r="M641" s="58"/>
    </row>
    <row r="642" spans="1:13" x14ac:dyDescent="0.25">
      <c r="A642" s="42" t="s">
        <v>933</v>
      </c>
      <c r="B642" s="49" t="s">
        <v>285</v>
      </c>
      <c r="C642" s="42" t="s">
        <v>930</v>
      </c>
      <c r="D642" s="75">
        <v>163350417</v>
      </c>
      <c r="E642" s="76">
        <v>2526466230</v>
      </c>
      <c r="F642" s="42" t="s">
        <v>256</v>
      </c>
      <c r="G642" s="52">
        <v>37673</v>
      </c>
      <c r="H642" s="53" t="str">
        <f t="shared" ref="H642:H705" si="20">CHOOSE(MONTH(G642),"Jan","Feb","Mar","Apr","May","Jun","Jul","Aug","Sep","Oct","Nov","Dec")</f>
        <v>Feb</v>
      </c>
      <c r="I642" s="54">
        <f t="shared" ref="I642:I705" ca="1" si="21">DATEDIF(G642,TODAY(),"Y")</f>
        <v>13</v>
      </c>
      <c r="J642" s="55" t="s">
        <v>262</v>
      </c>
      <c r="K642" s="56">
        <v>78380</v>
      </c>
      <c r="L642" s="57">
        <v>5</v>
      </c>
      <c r="M642" s="58"/>
    </row>
    <row r="643" spans="1:13" x14ac:dyDescent="0.25">
      <c r="A643" s="42" t="s">
        <v>934</v>
      </c>
      <c r="B643" s="49" t="s">
        <v>245</v>
      </c>
      <c r="C643" s="42" t="s">
        <v>930</v>
      </c>
      <c r="D643" s="75">
        <v>247422007</v>
      </c>
      <c r="E643" s="76">
        <v>2528012440</v>
      </c>
      <c r="F643" s="42" t="s">
        <v>247</v>
      </c>
      <c r="G643" s="52">
        <v>37194</v>
      </c>
      <c r="H643" s="53" t="str">
        <f t="shared" si="20"/>
        <v>Oct</v>
      </c>
      <c r="I643" s="54">
        <f t="shared" ca="1" si="21"/>
        <v>15</v>
      </c>
      <c r="J643" s="55"/>
      <c r="K643" s="56">
        <v>69900</v>
      </c>
      <c r="L643" s="57">
        <v>2</v>
      </c>
      <c r="M643" s="58"/>
    </row>
    <row r="644" spans="1:13" x14ac:dyDescent="0.25">
      <c r="A644" s="42" t="s">
        <v>935</v>
      </c>
      <c r="B644" s="49" t="s">
        <v>280</v>
      </c>
      <c r="C644" s="42" t="s">
        <v>930</v>
      </c>
      <c r="D644" s="75">
        <v>426812736</v>
      </c>
      <c r="E644" s="76">
        <v>9198399625</v>
      </c>
      <c r="F644" s="42" t="s">
        <v>247</v>
      </c>
      <c r="G644" s="52">
        <v>35160</v>
      </c>
      <c r="H644" s="53" t="str">
        <f t="shared" si="20"/>
        <v>Apr</v>
      </c>
      <c r="I644" s="54">
        <f t="shared" ca="1" si="21"/>
        <v>20</v>
      </c>
      <c r="J644" s="55"/>
      <c r="K644" s="56">
        <v>42290</v>
      </c>
      <c r="L644" s="57">
        <v>3</v>
      </c>
      <c r="M644" s="58"/>
    </row>
    <row r="645" spans="1:13" x14ac:dyDescent="0.25">
      <c r="A645" s="42" t="s">
        <v>936</v>
      </c>
      <c r="B645" s="49" t="s">
        <v>245</v>
      </c>
      <c r="C645" s="42" t="s">
        <v>930</v>
      </c>
      <c r="D645" s="75">
        <v>741258203</v>
      </c>
      <c r="E645" s="76">
        <v>9195157707</v>
      </c>
      <c r="F645" s="42" t="s">
        <v>247</v>
      </c>
      <c r="G645" s="52">
        <v>34790</v>
      </c>
      <c r="H645" s="53" t="str">
        <f t="shared" si="20"/>
        <v>Apr</v>
      </c>
      <c r="I645" s="54">
        <f t="shared" ca="1" si="21"/>
        <v>21</v>
      </c>
      <c r="J645" s="55"/>
      <c r="K645" s="56">
        <v>70950</v>
      </c>
      <c r="L645" s="57">
        <v>4</v>
      </c>
      <c r="M645" s="58"/>
    </row>
    <row r="646" spans="1:13" x14ac:dyDescent="0.25">
      <c r="A646" s="42" t="s">
        <v>937</v>
      </c>
      <c r="B646" s="49" t="s">
        <v>285</v>
      </c>
      <c r="C646" s="42" t="s">
        <v>930</v>
      </c>
      <c r="D646" s="75">
        <v>101829876</v>
      </c>
      <c r="E646" s="76">
        <v>2522552565</v>
      </c>
      <c r="F646" s="42" t="s">
        <v>252</v>
      </c>
      <c r="G646" s="52">
        <v>36248</v>
      </c>
      <c r="H646" s="53" t="str">
        <f t="shared" si="20"/>
        <v>Mar</v>
      </c>
      <c r="I646" s="54">
        <f t="shared" ca="1" si="21"/>
        <v>17</v>
      </c>
      <c r="J646" s="55"/>
      <c r="K646" s="56">
        <v>40500</v>
      </c>
      <c r="L646" s="57">
        <v>3</v>
      </c>
      <c r="M646" s="58"/>
    </row>
    <row r="647" spans="1:13" x14ac:dyDescent="0.25">
      <c r="A647" s="42" t="s">
        <v>938</v>
      </c>
      <c r="B647" s="49" t="s">
        <v>285</v>
      </c>
      <c r="C647" s="42" t="s">
        <v>930</v>
      </c>
      <c r="D647" s="75">
        <v>324069262</v>
      </c>
      <c r="E647" s="76">
        <v>2525459665</v>
      </c>
      <c r="F647" s="42" t="s">
        <v>247</v>
      </c>
      <c r="G647" s="52">
        <v>35535</v>
      </c>
      <c r="H647" s="53" t="str">
        <f t="shared" si="20"/>
        <v>Apr</v>
      </c>
      <c r="I647" s="54">
        <f t="shared" ca="1" si="21"/>
        <v>19</v>
      </c>
      <c r="J647" s="55"/>
      <c r="K647" s="56">
        <v>54130</v>
      </c>
      <c r="L647" s="57">
        <v>1</v>
      </c>
      <c r="M647" s="58"/>
    </row>
    <row r="648" spans="1:13" x14ac:dyDescent="0.25">
      <c r="A648" s="42" t="s">
        <v>939</v>
      </c>
      <c r="B648" s="49" t="s">
        <v>251</v>
      </c>
      <c r="C648" s="42" t="s">
        <v>930</v>
      </c>
      <c r="D648" s="75">
        <v>995590510</v>
      </c>
      <c r="E648" s="76">
        <v>9191838930</v>
      </c>
      <c r="F648" s="42" t="s">
        <v>247</v>
      </c>
      <c r="G648" s="52">
        <v>41639</v>
      </c>
      <c r="H648" s="53" t="str">
        <f t="shared" si="20"/>
        <v>Dec</v>
      </c>
      <c r="I648" s="54">
        <f t="shared" ca="1" si="21"/>
        <v>2</v>
      </c>
      <c r="J648" s="55"/>
      <c r="K648" s="56">
        <v>51590</v>
      </c>
      <c r="L648" s="57">
        <v>4</v>
      </c>
      <c r="M648" s="58"/>
    </row>
    <row r="649" spans="1:13" x14ac:dyDescent="0.25">
      <c r="A649" s="42" t="s">
        <v>940</v>
      </c>
      <c r="B649" s="49" t="s">
        <v>285</v>
      </c>
      <c r="C649" s="42" t="s">
        <v>930</v>
      </c>
      <c r="D649" s="75">
        <v>771110153</v>
      </c>
      <c r="E649" s="76">
        <v>9196799516</v>
      </c>
      <c r="F649" s="42" t="s">
        <v>256</v>
      </c>
      <c r="G649" s="52">
        <v>40284</v>
      </c>
      <c r="H649" s="53" t="str">
        <f t="shared" si="20"/>
        <v>Apr</v>
      </c>
      <c r="I649" s="54">
        <f t="shared" ca="1" si="21"/>
        <v>6</v>
      </c>
      <c r="J649" s="55" t="s">
        <v>257</v>
      </c>
      <c r="K649" s="56">
        <v>29980</v>
      </c>
      <c r="L649" s="57">
        <v>3</v>
      </c>
      <c r="M649" s="58"/>
    </row>
    <row r="650" spans="1:13" x14ac:dyDescent="0.25">
      <c r="A650" s="42" t="s">
        <v>941</v>
      </c>
      <c r="B650" s="49" t="s">
        <v>266</v>
      </c>
      <c r="C650" s="42" t="s">
        <v>930</v>
      </c>
      <c r="D650" s="75">
        <v>147683641</v>
      </c>
      <c r="E650" s="76">
        <v>9191657646</v>
      </c>
      <c r="F650" s="42" t="s">
        <v>247</v>
      </c>
      <c r="G650" s="52">
        <v>41335</v>
      </c>
      <c r="H650" s="53" t="str">
        <f t="shared" si="20"/>
        <v>Mar</v>
      </c>
      <c r="I650" s="54">
        <f t="shared" ca="1" si="21"/>
        <v>3</v>
      </c>
      <c r="J650" s="55"/>
      <c r="K650" s="56">
        <v>56740</v>
      </c>
      <c r="L650" s="57">
        <v>1</v>
      </c>
      <c r="M650" s="58"/>
    </row>
    <row r="651" spans="1:13" x14ac:dyDescent="0.25">
      <c r="A651" s="42" t="s">
        <v>942</v>
      </c>
      <c r="B651" s="49" t="s">
        <v>271</v>
      </c>
      <c r="C651" s="42" t="s">
        <v>930</v>
      </c>
      <c r="D651" s="75">
        <v>918436287</v>
      </c>
      <c r="E651" s="76">
        <v>2528238755</v>
      </c>
      <c r="F651" s="42" t="s">
        <v>247</v>
      </c>
      <c r="G651" s="52">
        <v>34194</v>
      </c>
      <c r="H651" s="53" t="str">
        <f t="shared" si="20"/>
        <v>Aug</v>
      </c>
      <c r="I651" s="54">
        <f t="shared" ca="1" si="21"/>
        <v>23</v>
      </c>
      <c r="J651" s="55"/>
      <c r="K651" s="56">
        <v>76330</v>
      </c>
      <c r="L651" s="57">
        <v>5</v>
      </c>
      <c r="M651" s="58"/>
    </row>
    <row r="652" spans="1:13" x14ac:dyDescent="0.25">
      <c r="A652" s="42" t="s">
        <v>943</v>
      </c>
      <c r="B652" s="49" t="s">
        <v>285</v>
      </c>
      <c r="C652" s="42" t="s">
        <v>930</v>
      </c>
      <c r="D652" s="75">
        <v>249416723</v>
      </c>
      <c r="E652" s="76">
        <v>2521628807</v>
      </c>
      <c r="F652" s="42" t="s">
        <v>256</v>
      </c>
      <c r="G652" s="52">
        <v>37026</v>
      </c>
      <c r="H652" s="53" t="str">
        <f t="shared" si="20"/>
        <v>May</v>
      </c>
      <c r="I652" s="54">
        <f t="shared" ca="1" si="21"/>
        <v>15</v>
      </c>
      <c r="J652" s="55" t="s">
        <v>262</v>
      </c>
      <c r="K652" s="56">
        <v>77360</v>
      </c>
      <c r="L652" s="57">
        <v>5</v>
      </c>
      <c r="M652" s="58"/>
    </row>
    <row r="653" spans="1:13" x14ac:dyDescent="0.25">
      <c r="A653" s="42" t="s">
        <v>944</v>
      </c>
      <c r="B653" s="49" t="s">
        <v>280</v>
      </c>
      <c r="C653" s="42" t="s">
        <v>930</v>
      </c>
      <c r="D653" s="75">
        <v>658842625</v>
      </c>
      <c r="E653" s="76">
        <v>9193788281</v>
      </c>
      <c r="F653" s="42" t="s">
        <v>261</v>
      </c>
      <c r="G653" s="52">
        <v>37054</v>
      </c>
      <c r="H653" s="53" t="str">
        <f t="shared" si="20"/>
        <v>Jun</v>
      </c>
      <c r="I653" s="54">
        <f t="shared" ca="1" si="21"/>
        <v>15</v>
      </c>
      <c r="J653" s="55" t="s">
        <v>276</v>
      </c>
      <c r="K653" s="56">
        <v>55330</v>
      </c>
      <c r="L653" s="57">
        <v>5</v>
      </c>
      <c r="M653" s="58"/>
    </row>
    <row r="654" spans="1:13" x14ac:dyDescent="0.25">
      <c r="A654" s="42" t="s">
        <v>945</v>
      </c>
      <c r="B654" s="49" t="s">
        <v>285</v>
      </c>
      <c r="C654" s="42" t="s">
        <v>930</v>
      </c>
      <c r="D654" s="75">
        <v>800685434</v>
      </c>
      <c r="E654" s="76">
        <v>2525821616</v>
      </c>
      <c r="F654" s="42" t="s">
        <v>256</v>
      </c>
      <c r="G654" s="52">
        <v>37957</v>
      </c>
      <c r="H654" s="53" t="str">
        <f t="shared" si="20"/>
        <v>Dec</v>
      </c>
      <c r="I654" s="54">
        <f t="shared" ca="1" si="21"/>
        <v>12</v>
      </c>
      <c r="J654" s="55" t="s">
        <v>276</v>
      </c>
      <c r="K654" s="56">
        <v>59920</v>
      </c>
      <c r="L654" s="57">
        <v>1</v>
      </c>
      <c r="M654" s="58"/>
    </row>
    <row r="655" spans="1:13" x14ac:dyDescent="0.25">
      <c r="A655" s="42" t="s">
        <v>946</v>
      </c>
      <c r="B655" s="49" t="s">
        <v>285</v>
      </c>
      <c r="C655" s="42" t="s">
        <v>930</v>
      </c>
      <c r="D655" s="75">
        <v>177324163</v>
      </c>
      <c r="E655" s="76">
        <v>2527091949</v>
      </c>
      <c r="F655" s="42" t="s">
        <v>256</v>
      </c>
      <c r="G655" s="52">
        <v>38811</v>
      </c>
      <c r="H655" s="53" t="str">
        <f t="shared" si="20"/>
        <v>Apr</v>
      </c>
      <c r="I655" s="54">
        <f t="shared" ca="1" si="21"/>
        <v>10</v>
      </c>
      <c r="J655" s="55" t="s">
        <v>283</v>
      </c>
      <c r="K655" s="56">
        <v>57610</v>
      </c>
      <c r="L655" s="57">
        <v>3</v>
      </c>
      <c r="M655" s="58"/>
    </row>
    <row r="656" spans="1:13" x14ac:dyDescent="0.25">
      <c r="A656" s="42" t="s">
        <v>947</v>
      </c>
      <c r="B656" s="49" t="s">
        <v>271</v>
      </c>
      <c r="C656" s="42" t="s">
        <v>930</v>
      </c>
      <c r="D656" s="75">
        <v>693214759</v>
      </c>
      <c r="E656" s="76">
        <v>9192683895</v>
      </c>
      <c r="F656" s="42" t="s">
        <v>256</v>
      </c>
      <c r="G656" s="52">
        <v>34807</v>
      </c>
      <c r="H656" s="53" t="str">
        <f t="shared" si="20"/>
        <v>Apr</v>
      </c>
      <c r="I656" s="54">
        <f t="shared" ca="1" si="21"/>
        <v>21</v>
      </c>
      <c r="J656" s="55" t="s">
        <v>262</v>
      </c>
      <c r="K656" s="56">
        <v>75340</v>
      </c>
      <c r="L656" s="57">
        <v>3</v>
      </c>
      <c r="M656" s="58"/>
    </row>
    <row r="657" spans="1:13" x14ac:dyDescent="0.25">
      <c r="A657" s="42" t="s">
        <v>948</v>
      </c>
      <c r="B657" s="49" t="s">
        <v>285</v>
      </c>
      <c r="C657" s="42" t="s">
        <v>930</v>
      </c>
      <c r="D657" s="75">
        <v>891224981</v>
      </c>
      <c r="E657" s="76">
        <v>2526391402</v>
      </c>
      <c r="F657" s="42" t="s">
        <v>261</v>
      </c>
      <c r="G657" s="52">
        <v>35141</v>
      </c>
      <c r="H657" s="53" t="str">
        <f t="shared" si="20"/>
        <v>Mar</v>
      </c>
      <c r="I657" s="54">
        <f t="shared" ca="1" si="21"/>
        <v>20</v>
      </c>
      <c r="J657" s="55" t="s">
        <v>276</v>
      </c>
      <c r="K657" s="56">
        <v>13480</v>
      </c>
      <c r="L657" s="57">
        <v>4</v>
      </c>
      <c r="M657" s="58"/>
    </row>
    <row r="658" spans="1:13" x14ac:dyDescent="0.25">
      <c r="A658" s="42" t="s">
        <v>949</v>
      </c>
      <c r="B658" s="49" t="s">
        <v>285</v>
      </c>
      <c r="C658" s="42" t="s">
        <v>930</v>
      </c>
      <c r="D658" s="75">
        <v>794814501</v>
      </c>
      <c r="E658" s="76">
        <v>2525604891</v>
      </c>
      <c r="F658" s="42" t="s">
        <v>247</v>
      </c>
      <c r="G658" s="52">
        <v>41236</v>
      </c>
      <c r="H658" s="53" t="str">
        <f t="shared" si="20"/>
        <v>Nov</v>
      </c>
      <c r="I658" s="54">
        <f t="shared" ca="1" si="21"/>
        <v>3</v>
      </c>
      <c r="J658" s="55"/>
      <c r="K658" s="56">
        <v>96870</v>
      </c>
      <c r="L658" s="57">
        <v>3</v>
      </c>
      <c r="M658" s="58"/>
    </row>
    <row r="659" spans="1:13" x14ac:dyDescent="0.25">
      <c r="A659" s="42" t="s">
        <v>950</v>
      </c>
      <c r="B659" s="49" t="s">
        <v>271</v>
      </c>
      <c r="C659" s="42" t="s">
        <v>930</v>
      </c>
      <c r="D659" s="75">
        <v>595022550</v>
      </c>
      <c r="E659" s="76">
        <v>9195621928</v>
      </c>
      <c r="F659" s="42" t="s">
        <v>256</v>
      </c>
      <c r="G659" s="52">
        <v>34958</v>
      </c>
      <c r="H659" s="53" t="str">
        <f t="shared" si="20"/>
        <v>Sep</v>
      </c>
      <c r="I659" s="54">
        <f t="shared" ca="1" si="21"/>
        <v>21</v>
      </c>
      <c r="J659" s="55" t="s">
        <v>262</v>
      </c>
      <c r="K659" s="56">
        <v>71390</v>
      </c>
      <c r="L659" s="57">
        <v>3</v>
      </c>
      <c r="M659" s="58"/>
    </row>
    <row r="660" spans="1:13" x14ac:dyDescent="0.25">
      <c r="A660" s="42" t="s">
        <v>951</v>
      </c>
      <c r="B660" s="49" t="s">
        <v>245</v>
      </c>
      <c r="C660" s="42" t="s">
        <v>930</v>
      </c>
      <c r="D660" s="75">
        <v>210491464</v>
      </c>
      <c r="E660" s="76">
        <v>9198405552</v>
      </c>
      <c r="F660" s="42" t="s">
        <v>256</v>
      </c>
      <c r="G660" s="52">
        <v>40603</v>
      </c>
      <c r="H660" s="53" t="str">
        <f t="shared" si="20"/>
        <v>Mar</v>
      </c>
      <c r="I660" s="54">
        <f t="shared" ca="1" si="21"/>
        <v>5</v>
      </c>
      <c r="J660" s="55" t="s">
        <v>257</v>
      </c>
      <c r="K660" s="56">
        <v>95260</v>
      </c>
      <c r="L660" s="57">
        <v>5</v>
      </c>
      <c r="M660" s="58"/>
    </row>
    <row r="661" spans="1:13" x14ac:dyDescent="0.25">
      <c r="A661" s="42" t="s">
        <v>952</v>
      </c>
      <c r="B661" s="49" t="s">
        <v>285</v>
      </c>
      <c r="C661" s="42" t="s">
        <v>930</v>
      </c>
      <c r="D661" s="75">
        <v>656572514</v>
      </c>
      <c r="E661" s="76">
        <v>9193679666</v>
      </c>
      <c r="F661" s="42" t="s">
        <v>247</v>
      </c>
      <c r="G661" s="52">
        <v>34975</v>
      </c>
      <c r="H661" s="53" t="str">
        <f t="shared" si="20"/>
        <v>Oct</v>
      </c>
      <c r="I661" s="54">
        <f t="shared" ca="1" si="21"/>
        <v>21</v>
      </c>
      <c r="J661" s="55"/>
      <c r="K661" s="56">
        <v>84180</v>
      </c>
      <c r="L661" s="57">
        <v>2</v>
      </c>
      <c r="M661" s="58"/>
    </row>
    <row r="662" spans="1:13" x14ac:dyDescent="0.25">
      <c r="A662" s="42" t="s">
        <v>953</v>
      </c>
      <c r="B662" s="49" t="s">
        <v>285</v>
      </c>
      <c r="C662" s="42" t="s">
        <v>930</v>
      </c>
      <c r="D662" s="75">
        <v>904497673</v>
      </c>
      <c r="E662" s="76">
        <v>2521277028</v>
      </c>
      <c r="F662" s="42" t="s">
        <v>247</v>
      </c>
      <c r="G662" s="52">
        <v>34145</v>
      </c>
      <c r="H662" s="53" t="str">
        <f t="shared" si="20"/>
        <v>Jun</v>
      </c>
      <c r="I662" s="54">
        <f t="shared" ca="1" si="21"/>
        <v>23</v>
      </c>
      <c r="J662" s="55"/>
      <c r="K662" s="56">
        <v>28010</v>
      </c>
      <c r="L662" s="57">
        <v>4</v>
      </c>
      <c r="M662" s="58"/>
    </row>
    <row r="663" spans="1:13" x14ac:dyDescent="0.25">
      <c r="A663" s="42" t="s">
        <v>954</v>
      </c>
      <c r="B663" s="49" t="s">
        <v>280</v>
      </c>
      <c r="C663" s="42" t="s">
        <v>930</v>
      </c>
      <c r="D663" s="75">
        <v>364525917</v>
      </c>
      <c r="E663" s="76">
        <v>2522787318</v>
      </c>
      <c r="F663" s="42" t="s">
        <v>256</v>
      </c>
      <c r="G663" s="52">
        <v>34979</v>
      </c>
      <c r="H663" s="53" t="str">
        <f t="shared" si="20"/>
        <v>Oct</v>
      </c>
      <c r="I663" s="54">
        <f t="shared" ca="1" si="21"/>
        <v>21</v>
      </c>
      <c r="J663" s="55" t="s">
        <v>283</v>
      </c>
      <c r="K663" s="56">
        <v>55690</v>
      </c>
      <c r="L663" s="57">
        <v>2</v>
      </c>
      <c r="M663" s="58"/>
    </row>
    <row r="664" spans="1:13" x14ac:dyDescent="0.25">
      <c r="A664" s="42" t="s">
        <v>955</v>
      </c>
      <c r="B664" s="49" t="s">
        <v>251</v>
      </c>
      <c r="C664" s="42" t="s">
        <v>930</v>
      </c>
      <c r="D664" s="75">
        <v>635240617</v>
      </c>
      <c r="E664" s="76">
        <v>9192259651</v>
      </c>
      <c r="F664" s="42" t="s">
        <v>256</v>
      </c>
      <c r="G664" s="52">
        <v>37844</v>
      </c>
      <c r="H664" s="53" t="str">
        <f t="shared" si="20"/>
        <v>Aug</v>
      </c>
      <c r="I664" s="54">
        <f t="shared" ca="1" si="21"/>
        <v>13</v>
      </c>
      <c r="J664" s="55" t="s">
        <v>283</v>
      </c>
      <c r="K664" s="56">
        <v>57160</v>
      </c>
      <c r="L664" s="57">
        <v>3</v>
      </c>
      <c r="M664" s="58"/>
    </row>
    <row r="665" spans="1:13" x14ac:dyDescent="0.25">
      <c r="A665" s="42" t="s">
        <v>956</v>
      </c>
      <c r="B665" s="49" t="s">
        <v>285</v>
      </c>
      <c r="C665" s="42" t="s">
        <v>930</v>
      </c>
      <c r="D665" s="75">
        <v>546546374</v>
      </c>
      <c r="E665" s="76">
        <v>9192727944</v>
      </c>
      <c r="F665" s="42" t="s">
        <v>261</v>
      </c>
      <c r="G665" s="52">
        <v>37463</v>
      </c>
      <c r="H665" s="53" t="str">
        <f t="shared" si="20"/>
        <v>Jul</v>
      </c>
      <c r="I665" s="54">
        <f t="shared" ca="1" si="21"/>
        <v>14</v>
      </c>
      <c r="J665" s="55" t="s">
        <v>283</v>
      </c>
      <c r="K665" s="56">
        <v>31420</v>
      </c>
      <c r="L665" s="57">
        <v>5</v>
      </c>
      <c r="M665" s="58"/>
    </row>
    <row r="666" spans="1:13" x14ac:dyDescent="0.25">
      <c r="A666" s="42" t="s">
        <v>957</v>
      </c>
      <c r="B666" s="49" t="s">
        <v>285</v>
      </c>
      <c r="C666" s="42" t="s">
        <v>930</v>
      </c>
      <c r="D666" s="75">
        <v>970466937</v>
      </c>
      <c r="E666" s="76">
        <v>9192042331</v>
      </c>
      <c r="F666" s="42" t="s">
        <v>247</v>
      </c>
      <c r="G666" s="52">
        <v>34496</v>
      </c>
      <c r="H666" s="53" t="str">
        <f t="shared" si="20"/>
        <v>Jun</v>
      </c>
      <c r="I666" s="54">
        <f t="shared" ca="1" si="21"/>
        <v>22</v>
      </c>
      <c r="J666" s="55"/>
      <c r="K666" s="56">
        <v>74980</v>
      </c>
      <c r="L666" s="57">
        <v>5</v>
      </c>
      <c r="M666" s="58"/>
    </row>
    <row r="667" spans="1:13" x14ac:dyDescent="0.25">
      <c r="A667" s="42" t="s">
        <v>958</v>
      </c>
      <c r="B667" s="49" t="s">
        <v>285</v>
      </c>
      <c r="C667" s="42" t="s">
        <v>930</v>
      </c>
      <c r="D667" s="75">
        <v>212558012</v>
      </c>
      <c r="E667" s="76">
        <v>2526860208</v>
      </c>
      <c r="F667" s="42" t="s">
        <v>256</v>
      </c>
      <c r="G667" s="52">
        <v>37968</v>
      </c>
      <c r="H667" s="53" t="str">
        <f t="shared" si="20"/>
        <v>Dec</v>
      </c>
      <c r="I667" s="54">
        <f t="shared" ca="1" si="21"/>
        <v>12</v>
      </c>
      <c r="J667" s="55" t="s">
        <v>257</v>
      </c>
      <c r="K667" s="56">
        <v>75670</v>
      </c>
      <c r="L667" s="57">
        <v>4</v>
      </c>
      <c r="M667" s="58"/>
    </row>
    <row r="668" spans="1:13" x14ac:dyDescent="0.25">
      <c r="A668" s="42" t="s">
        <v>959</v>
      </c>
      <c r="B668" s="49" t="s">
        <v>251</v>
      </c>
      <c r="C668" s="42" t="s">
        <v>930</v>
      </c>
      <c r="D668" s="75">
        <v>688769770</v>
      </c>
      <c r="E668" s="76">
        <v>9192416398</v>
      </c>
      <c r="F668" s="42" t="s">
        <v>256</v>
      </c>
      <c r="G668" s="52">
        <v>39627</v>
      </c>
      <c r="H668" s="53" t="str">
        <f t="shared" si="20"/>
        <v>Jun</v>
      </c>
      <c r="I668" s="54">
        <f t="shared" ca="1" si="21"/>
        <v>8</v>
      </c>
      <c r="J668" s="55" t="s">
        <v>257</v>
      </c>
      <c r="K668" s="56">
        <v>53440</v>
      </c>
      <c r="L668" s="57">
        <v>2</v>
      </c>
      <c r="M668" s="58"/>
    </row>
    <row r="669" spans="1:13" x14ac:dyDescent="0.25">
      <c r="A669" s="42" t="s">
        <v>960</v>
      </c>
      <c r="B669" s="49" t="s">
        <v>285</v>
      </c>
      <c r="C669" s="42" t="s">
        <v>930</v>
      </c>
      <c r="D669" s="75">
        <v>471064761</v>
      </c>
      <c r="E669" s="76">
        <v>9191800673</v>
      </c>
      <c r="F669" s="42" t="s">
        <v>252</v>
      </c>
      <c r="G669" s="52">
        <v>35826</v>
      </c>
      <c r="H669" s="53" t="str">
        <f t="shared" si="20"/>
        <v>Jan</v>
      </c>
      <c r="I669" s="54">
        <f t="shared" ca="1" si="21"/>
        <v>18</v>
      </c>
      <c r="J669" s="55"/>
      <c r="K669" s="56">
        <v>32330</v>
      </c>
      <c r="L669" s="57">
        <v>4</v>
      </c>
      <c r="M669" s="58"/>
    </row>
    <row r="670" spans="1:13" x14ac:dyDescent="0.25">
      <c r="A670" s="42" t="s">
        <v>961</v>
      </c>
      <c r="B670" s="49" t="s">
        <v>280</v>
      </c>
      <c r="C670" s="42" t="s">
        <v>930</v>
      </c>
      <c r="D670" s="75">
        <v>733358713</v>
      </c>
      <c r="E670" s="76">
        <v>9196648050</v>
      </c>
      <c r="F670" s="42" t="s">
        <v>247</v>
      </c>
      <c r="G670" s="52">
        <v>36339</v>
      </c>
      <c r="H670" s="53" t="str">
        <f t="shared" si="20"/>
        <v>Jun</v>
      </c>
      <c r="I670" s="54">
        <f t="shared" ca="1" si="21"/>
        <v>17</v>
      </c>
      <c r="J670" s="55"/>
      <c r="K670" s="56">
        <v>105400</v>
      </c>
      <c r="L670" s="57">
        <v>2</v>
      </c>
      <c r="M670" s="58"/>
    </row>
    <row r="671" spans="1:13" x14ac:dyDescent="0.25">
      <c r="A671" s="42" t="s">
        <v>962</v>
      </c>
      <c r="B671" s="49" t="s">
        <v>285</v>
      </c>
      <c r="C671" s="42" t="s">
        <v>930</v>
      </c>
      <c r="D671" s="75">
        <v>277423593</v>
      </c>
      <c r="E671" s="76">
        <v>9195790921</v>
      </c>
      <c r="F671" s="42" t="s">
        <v>261</v>
      </c>
      <c r="G671" s="52">
        <v>34392</v>
      </c>
      <c r="H671" s="53" t="str">
        <f t="shared" si="20"/>
        <v>Feb</v>
      </c>
      <c r="I671" s="54">
        <f t="shared" ca="1" si="21"/>
        <v>22</v>
      </c>
      <c r="J671" s="55" t="s">
        <v>283</v>
      </c>
      <c r="K671" s="56">
        <v>16150</v>
      </c>
      <c r="L671" s="57">
        <v>2</v>
      </c>
      <c r="M671" s="58"/>
    </row>
    <row r="672" spans="1:13" x14ac:dyDescent="0.25">
      <c r="A672" s="42" t="s">
        <v>963</v>
      </c>
      <c r="B672" s="49" t="s">
        <v>266</v>
      </c>
      <c r="C672" s="42" t="s">
        <v>930</v>
      </c>
      <c r="D672" s="75">
        <v>941937371</v>
      </c>
      <c r="E672" s="76">
        <v>9195060466</v>
      </c>
      <c r="F672" s="42" t="s">
        <v>256</v>
      </c>
      <c r="G672" s="52">
        <v>36777</v>
      </c>
      <c r="H672" s="53" t="str">
        <f t="shared" si="20"/>
        <v>Sep</v>
      </c>
      <c r="I672" s="54">
        <f t="shared" ca="1" si="21"/>
        <v>16</v>
      </c>
      <c r="J672" s="55" t="s">
        <v>257</v>
      </c>
      <c r="K672" s="56">
        <v>103580</v>
      </c>
      <c r="L672" s="57">
        <v>4</v>
      </c>
      <c r="M672" s="58"/>
    </row>
    <row r="673" spans="1:13" x14ac:dyDescent="0.25">
      <c r="A673" s="42" t="s">
        <v>964</v>
      </c>
      <c r="B673" s="49" t="s">
        <v>285</v>
      </c>
      <c r="C673" s="42" t="s">
        <v>930</v>
      </c>
      <c r="D673" s="75">
        <v>627494412</v>
      </c>
      <c r="E673" s="76">
        <v>2528249735</v>
      </c>
      <c r="F673" s="42" t="s">
        <v>256</v>
      </c>
      <c r="G673" s="52">
        <v>36277</v>
      </c>
      <c r="H673" s="53" t="str">
        <f t="shared" si="20"/>
        <v>Apr</v>
      </c>
      <c r="I673" s="54">
        <f t="shared" ca="1" si="21"/>
        <v>17</v>
      </c>
      <c r="J673" s="55" t="s">
        <v>257</v>
      </c>
      <c r="K673" s="56">
        <v>70040</v>
      </c>
      <c r="L673" s="57">
        <v>5</v>
      </c>
      <c r="M673" s="58"/>
    </row>
    <row r="674" spans="1:13" x14ac:dyDescent="0.25">
      <c r="A674" s="42" t="s">
        <v>965</v>
      </c>
      <c r="B674" s="49" t="s">
        <v>280</v>
      </c>
      <c r="C674" s="42" t="s">
        <v>930</v>
      </c>
      <c r="D674" s="75">
        <v>230192897</v>
      </c>
      <c r="E674" s="76">
        <v>2525261239</v>
      </c>
      <c r="F674" s="42" t="s">
        <v>256</v>
      </c>
      <c r="G674" s="52">
        <v>40442</v>
      </c>
      <c r="H674" s="53" t="str">
        <f t="shared" si="20"/>
        <v>Sep</v>
      </c>
      <c r="I674" s="54">
        <f t="shared" ca="1" si="21"/>
        <v>6</v>
      </c>
      <c r="J674" s="55" t="s">
        <v>262</v>
      </c>
      <c r="K674" s="56">
        <v>82630</v>
      </c>
      <c r="L674" s="57">
        <v>2</v>
      </c>
      <c r="M674" s="58"/>
    </row>
    <row r="675" spans="1:13" x14ac:dyDescent="0.25">
      <c r="A675" s="42" t="s">
        <v>966</v>
      </c>
      <c r="B675" s="49" t="s">
        <v>285</v>
      </c>
      <c r="C675" s="42" t="s">
        <v>930</v>
      </c>
      <c r="D675" s="75">
        <v>894855096</v>
      </c>
      <c r="E675" s="76">
        <v>9193936198</v>
      </c>
      <c r="F675" s="42" t="s">
        <v>261</v>
      </c>
      <c r="G675" s="52">
        <v>36467</v>
      </c>
      <c r="H675" s="53" t="str">
        <f t="shared" si="20"/>
        <v>Nov</v>
      </c>
      <c r="I675" s="54">
        <f t="shared" ca="1" si="21"/>
        <v>17</v>
      </c>
      <c r="J675" s="55" t="s">
        <v>262</v>
      </c>
      <c r="K675" s="56">
        <v>45190</v>
      </c>
      <c r="L675" s="57">
        <v>4</v>
      </c>
      <c r="M675" s="58"/>
    </row>
    <row r="676" spans="1:13" x14ac:dyDescent="0.25">
      <c r="A676" s="42" t="s">
        <v>967</v>
      </c>
      <c r="B676" s="49" t="s">
        <v>280</v>
      </c>
      <c r="C676" s="42" t="s">
        <v>930</v>
      </c>
      <c r="D676" s="75">
        <v>723066626</v>
      </c>
      <c r="E676" s="76">
        <v>2525399385</v>
      </c>
      <c r="F676" s="42" t="s">
        <v>247</v>
      </c>
      <c r="G676" s="52">
        <v>39439</v>
      </c>
      <c r="H676" s="53" t="str">
        <f t="shared" si="20"/>
        <v>Dec</v>
      </c>
      <c r="I676" s="54">
        <f t="shared" ca="1" si="21"/>
        <v>8</v>
      </c>
      <c r="J676" s="55"/>
      <c r="K676" s="56">
        <v>39460</v>
      </c>
      <c r="L676" s="57">
        <v>3</v>
      </c>
      <c r="M676" s="58"/>
    </row>
    <row r="677" spans="1:13" x14ac:dyDescent="0.25">
      <c r="A677" s="42" t="s">
        <v>968</v>
      </c>
      <c r="B677" s="49" t="s">
        <v>285</v>
      </c>
      <c r="C677" s="42" t="s">
        <v>930</v>
      </c>
      <c r="D677" s="75">
        <v>144722757</v>
      </c>
      <c r="E677" s="76">
        <v>9196060038</v>
      </c>
      <c r="F677" s="42" t="s">
        <v>247</v>
      </c>
      <c r="G677" s="52">
        <v>34563</v>
      </c>
      <c r="H677" s="53" t="str">
        <f t="shared" si="20"/>
        <v>Aug</v>
      </c>
      <c r="I677" s="54">
        <f t="shared" ca="1" si="21"/>
        <v>22</v>
      </c>
      <c r="J677" s="55"/>
      <c r="K677" s="56">
        <v>69000</v>
      </c>
      <c r="L677" s="57">
        <v>1</v>
      </c>
      <c r="M677" s="58"/>
    </row>
    <row r="678" spans="1:13" x14ac:dyDescent="0.25">
      <c r="A678" s="42" t="s">
        <v>969</v>
      </c>
      <c r="B678" s="49" t="s">
        <v>271</v>
      </c>
      <c r="C678" s="42" t="s">
        <v>930</v>
      </c>
      <c r="D678" s="75">
        <v>418701946</v>
      </c>
      <c r="E678" s="76">
        <v>2524141191</v>
      </c>
      <c r="F678" s="42" t="s">
        <v>261</v>
      </c>
      <c r="G678" s="52">
        <v>35155</v>
      </c>
      <c r="H678" s="53" t="str">
        <f t="shared" si="20"/>
        <v>Mar</v>
      </c>
      <c r="I678" s="54">
        <f t="shared" ca="1" si="21"/>
        <v>20</v>
      </c>
      <c r="J678" s="55" t="s">
        <v>257</v>
      </c>
      <c r="K678" s="56">
        <v>59450</v>
      </c>
      <c r="L678" s="57">
        <v>2</v>
      </c>
      <c r="M678" s="58"/>
    </row>
    <row r="679" spans="1:13" x14ac:dyDescent="0.25">
      <c r="A679" s="42" t="s">
        <v>970</v>
      </c>
      <c r="B679" s="49" t="s">
        <v>271</v>
      </c>
      <c r="C679" s="42" t="s">
        <v>930</v>
      </c>
      <c r="D679" s="75">
        <v>671823263</v>
      </c>
      <c r="E679" s="76">
        <v>2526718651</v>
      </c>
      <c r="F679" s="42" t="s">
        <v>256</v>
      </c>
      <c r="G679" s="52">
        <v>41638</v>
      </c>
      <c r="H679" s="53" t="str">
        <f t="shared" si="20"/>
        <v>Dec</v>
      </c>
      <c r="I679" s="54">
        <f t="shared" ca="1" si="21"/>
        <v>2</v>
      </c>
      <c r="J679" s="55" t="s">
        <v>257</v>
      </c>
      <c r="K679" s="56">
        <v>103970</v>
      </c>
      <c r="L679" s="57">
        <v>3</v>
      </c>
      <c r="M679" s="58"/>
    </row>
    <row r="680" spans="1:13" x14ac:dyDescent="0.25">
      <c r="A680" s="42" t="s">
        <v>971</v>
      </c>
      <c r="B680" s="49" t="s">
        <v>266</v>
      </c>
      <c r="C680" s="42" t="s">
        <v>930</v>
      </c>
      <c r="D680" s="75">
        <v>971128623</v>
      </c>
      <c r="E680" s="76">
        <v>9194375399</v>
      </c>
      <c r="F680" s="42" t="s">
        <v>247</v>
      </c>
      <c r="G680" s="52">
        <v>38142</v>
      </c>
      <c r="H680" s="53" t="str">
        <f t="shared" si="20"/>
        <v>Jun</v>
      </c>
      <c r="I680" s="54">
        <f t="shared" ca="1" si="21"/>
        <v>12</v>
      </c>
      <c r="J680" s="55"/>
      <c r="K680" s="56">
        <v>30640</v>
      </c>
      <c r="L680" s="57">
        <v>3</v>
      </c>
      <c r="M680" s="58"/>
    </row>
    <row r="681" spans="1:13" x14ac:dyDescent="0.25">
      <c r="A681" s="42" t="s">
        <v>972</v>
      </c>
      <c r="B681" s="49" t="s">
        <v>266</v>
      </c>
      <c r="C681" s="42" t="s">
        <v>930</v>
      </c>
      <c r="D681" s="75">
        <v>592709648</v>
      </c>
      <c r="E681" s="76">
        <v>9191797370</v>
      </c>
      <c r="F681" s="42" t="s">
        <v>247</v>
      </c>
      <c r="G681" s="52">
        <v>38066</v>
      </c>
      <c r="H681" s="53" t="str">
        <f t="shared" si="20"/>
        <v>Mar</v>
      </c>
      <c r="I681" s="54">
        <f t="shared" ca="1" si="21"/>
        <v>12</v>
      </c>
      <c r="J681" s="55"/>
      <c r="K681" s="56">
        <v>92560</v>
      </c>
      <c r="L681" s="57">
        <v>5</v>
      </c>
      <c r="M681" s="58"/>
    </row>
    <row r="682" spans="1:13" x14ac:dyDescent="0.25">
      <c r="A682" s="42" t="s">
        <v>973</v>
      </c>
      <c r="B682" s="49" t="s">
        <v>285</v>
      </c>
      <c r="C682" s="42" t="s">
        <v>930</v>
      </c>
      <c r="D682" s="75">
        <v>151532569</v>
      </c>
      <c r="E682" s="76">
        <v>2525202015</v>
      </c>
      <c r="F682" s="42" t="s">
        <v>247</v>
      </c>
      <c r="G682" s="52">
        <v>41564</v>
      </c>
      <c r="H682" s="53" t="str">
        <f t="shared" si="20"/>
        <v>Oct</v>
      </c>
      <c r="I682" s="54">
        <f t="shared" ca="1" si="21"/>
        <v>3</v>
      </c>
      <c r="J682" s="55"/>
      <c r="K682" s="56">
        <v>66610</v>
      </c>
      <c r="L682" s="57">
        <v>3</v>
      </c>
      <c r="M682" s="58"/>
    </row>
    <row r="683" spans="1:13" x14ac:dyDescent="0.25">
      <c r="A683" s="42" t="s">
        <v>974</v>
      </c>
      <c r="B683" s="49" t="s">
        <v>271</v>
      </c>
      <c r="C683" s="42" t="s">
        <v>930</v>
      </c>
      <c r="D683" s="75">
        <v>375875723</v>
      </c>
      <c r="E683" s="76">
        <v>2526026842</v>
      </c>
      <c r="F683" s="42" t="s">
        <v>247</v>
      </c>
      <c r="G683" s="52">
        <v>35724</v>
      </c>
      <c r="H683" s="53" t="str">
        <f t="shared" si="20"/>
        <v>Oct</v>
      </c>
      <c r="I683" s="54">
        <f t="shared" ca="1" si="21"/>
        <v>19</v>
      </c>
      <c r="J683" s="55"/>
      <c r="K683" s="56">
        <v>77120</v>
      </c>
      <c r="L683" s="57">
        <v>3</v>
      </c>
      <c r="M683" s="58"/>
    </row>
    <row r="684" spans="1:13" x14ac:dyDescent="0.25">
      <c r="A684" s="42" t="s">
        <v>975</v>
      </c>
      <c r="B684" s="49" t="s">
        <v>271</v>
      </c>
      <c r="C684" s="42" t="s">
        <v>930</v>
      </c>
      <c r="D684" s="75">
        <v>916944119</v>
      </c>
      <c r="E684" s="76">
        <v>2524907564</v>
      </c>
      <c r="F684" s="42" t="s">
        <v>247</v>
      </c>
      <c r="G684" s="52">
        <v>38100</v>
      </c>
      <c r="H684" s="53" t="str">
        <f t="shared" si="20"/>
        <v>Apr</v>
      </c>
      <c r="I684" s="54">
        <f t="shared" ca="1" si="21"/>
        <v>12</v>
      </c>
      <c r="J684" s="55"/>
      <c r="K684" s="56">
        <v>33920</v>
      </c>
      <c r="L684" s="57">
        <v>5</v>
      </c>
      <c r="M684" s="58"/>
    </row>
    <row r="685" spans="1:13" x14ac:dyDescent="0.25">
      <c r="A685" s="42" t="s">
        <v>976</v>
      </c>
      <c r="B685" s="49" t="s">
        <v>271</v>
      </c>
      <c r="C685" s="42" t="s">
        <v>930</v>
      </c>
      <c r="D685" s="75">
        <v>855663308</v>
      </c>
      <c r="E685" s="76">
        <v>9195797109</v>
      </c>
      <c r="F685" s="42" t="s">
        <v>256</v>
      </c>
      <c r="G685" s="52">
        <v>35671</v>
      </c>
      <c r="H685" s="53" t="str">
        <f t="shared" si="20"/>
        <v>Aug</v>
      </c>
      <c r="I685" s="54">
        <f t="shared" ca="1" si="21"/>
        <v>19</v>
      </c>
      <c r="J685" s="55" t="s">
        <v>257</v>
      </c>
      <c r="K685" s="56">
        <v>83410</v>
      </c>
      <c r="L685" s="57">
        <v>5</v>
      </c>
      <c r="M685" s="58"/>
    </row>
    <row r="686" spans="1:13" x14ac:dyDescent="0.25">
      <c r="A686" s="42" t="s">
        <v>977</v>
      </c>
      <c r="B686" s="49" t="s">
        <v>245</v>
      </c>
      <c r="C686" s="42" t="s">
        <v>930</v>
      </c>
      <c r="D686" s="75">
        <v>262585858</v>
      </c>
      <c r="E686" s="76">
        <v>2528566597</v>
      </c>
      <c r="F686" s="42" t="s">
        <v>261</v>
      </c>
      <c r="G686" s="52">
        <v>36519</v>
      </c>
      <c r="H686" s="53" t="str">
        <f t="shared" si="20"/>
        <v>Dec</v>
      </c>
      <c r="I686" s="54">
        <f t="shared" ca="1" si="21"/>
        <v>16</v>
      </c>
      <c r="J686" s="55" t="s">
        <v>262</v>
      </c>
      <c r="K686" s="56">
        <v>16430</v>
      </c>
      <c r="L686" s="57">
        <v>5</v>
      </c>
      <c r="M686" s="58"/>
    </row>
    <row r="687" spans="1:13" x14ac:dyDescent="0.25">
      <c r="A687" s="42" t="s">
        <v>978</v>
      </c>
      <c r="B687" s="49" t="s">
        <v>271</v>
      </c>
      <c r="C687" s="42" t="s">
        <v>930</v>
      </c>
      <c r="D687" s="75">
        <v>657835603</v>
      </c>
      <c r="E687" s="76">
        <v>2526609693</v>
      </c>
      <c r="F687" s="42" t="s">
        <v>256</v>
      </c>
      <c r="G687" s="52">
        <v>34280</v>
      </c>
      <c r="H687" s="53" t="str">
        <f t="shared" si="20"/>
        <v>Nov</v>
      </c>
      <c r="I687" s="54">
        <f t="shared" ca="1" si="21"/>
        <v>23</v>
      </c>
      <c r="J687" s="55" t="s">
        <v>257</v>
      </c>
      <c r="K687" s="56">
        <v>29040</v>
      </c>
      <c r="L687" s="57">
        <v>5</v>
      </c>
      <c r="M687" s="58"/>
    </row>
    <row r="688" spans="1:13" x14ac:dyDescent="0.25">
      <c r="A688" s="42" t="s">
        <v>979</v>
      </c>
      <c r="B688" s="49" t="s">
        <v>266</v>
      </c>
      <c r="C688" s="42" t="s">
        <v>930</v>
      </c>
      <c r="D688" s="75">
        <v>120224342</v>
      </c>
      <c r="E688" s="76">
        <v>9198986390</v>
      </c>
      <c r="F688" s="42" t="s">
        <v>252</v>
      </c>
      <c r="G688" s="52">
        <v>37459</v>
      </c>
      <c r="H688" s="53" t="str">
        <f t="shared" si="20"/>
        <v>Jul</v>
      </c>
      <c r="I688" s="54">
        <f t="shared" ca="1" si="21"/>
        <v>14</v>
      </c>
      <c r="J688" s="55"/>
      <c r="K688" s="56">
        <v>39040</v>
      </c>
      <c r="L688" s="57">
        <v>2</v>
      </c>
      <c r="M688" s="58"/>
    </row>
    <row r="689" spans="1:13" x14ac:dyDescent="0.25">
      <c r="A689" s="42" t="s">
        <v>980</v>
      </c>
      <c r="B689" s="49" t="s">
        <v>285</v>
      </c>
      <c r="C689" s="42" t="s">
        <v>930</v>
      </c>
      <c r="D689" s="75">
        <v>283476654</v>
      </c>
      <c r="E689" s="76">
        <v>9197049910</v>
      </c>
      <c r="F689" s="42" t="s">
        <v>256</v>
      </c>
      <c r="G689" s="52">
        <v>34682</v>
      </c>
      <c r="H689" s="53" t="str">
        <f t="shared" si="20"/>
        <v>Dec</v>
      </c>
      <c r="I689" s="54">
        <f t="shared" ca="1" si="21"/>
        <v>21</v>
      </c>
      <c r="J689" s="55" t="s">
        <v>262</v>
      </c>
      <c r="K689" s="56">
        <v>55860</v>
      </c>
      <c r="L689" s="57">
        <v>4</v>
      </c>
      <c r="M689" s="58"/>
    </row>
    <row r="690" spans="1:13" x14ac:dyDescent="0.25">
      <c r="A690" s="42" t="s">
        <v>981</v>
      </c>
      <c r="B690" s="49" t="s">
        <v>285</v>
      </c>
      <c r="C690" s="42" t="s">
        <v>930</v>
      </c>
      <c r="D690" s="75">
        <v>717503282</v>
      </c>
      <c r="E690" s="76">
        <v>2522400087</v>
      </c>
      <c r="F690" s="42" t="s">
        <v>247</v>
      </c>
      <c r="G690" s="52">
        <v>41524</v>
      </c>
      <c r="H690" s="53" t="str">
        <f t="shared" si="20"/>
        <v>Sep</v>
      </c>
      <c r="I690" s="54">
        <f t="shared" ca="1" si="21"/>
        <v>3</v>
      </c>
      <c r="J690" s="55"/>
      <c r="K690" s="56">
        <v>55880</v>
      </c>
      <c r="L690" s="57">
        <v>4</v>
      </c>
      <c r="M690" s="58"/>
    </row>
    <row r="691" spans="1:13" x14ac:dyDescent="0.25">
      <c r="A691" s="42" t="s">
        <v>982</v>
      </c>
      <c r="B691" s="49" t="s">
        <v>245</v>
      </c>
      <c r="C691" s="42" t="s">
        <v>930</v>
      </c>
      <c r="D691" s="75">
        <v>683670378</v>
      </c>
      <c r="E691" s="76">
        <v>9196259106</v>
      </c>
      <c r="F691" s="42" t="s">
        <v>256</v>
      </c>
      <c r="G691" s="52">
        <v>39348</v>
      </c>
      <c r="H691" s="53" t="str">
        <f t="shared" si="20"/>
        <v>Sep</v>
      </c>
      <c r="I691" s="54">
        <f t="shared" ca="1" si="21"/>
        <v>9</v>
      </c>
      <c r="J691" s="55" t="s">
        <v>283</v>
      </c>
      <c r="K691" s="56">
        <v>97610</v>
      </c>
      <c r="L691" s="57">
        <v>2</v>
      </c>
      <c r="M691" s="58"/>
    </row>
    <row r="692" spans="1:13" x14ac:dyDescent="0.25">
      <c r="A692" s="42" t="s">
        <v>983</v>
      </c>
      <c r="B692" s="49" t="s">
        <v>271</v>
      </c>
      <c r="C692" s="42" t="s">
        <v>930</v>
      </c>
      <c r="D692" s="75">
        <v>111616346</v>
      </c>
      <c r="E692" s="76">
        <v>2525717431</v>
      </c>
      <c r="F692" s="42" t="s">
        <v>247</v>
      </c>
      <c r="G692" s="52">
        <v>34507</v>
      </c>
      <c r="H692" s="53" t="str">
        <f t="shared" si="20"/>
        <v>Jun</v>
      </c>
      <c r="I692" s="54">
        <f t="shared" ca="1" si="21"/>
        <v>22</v>
      </c>
      <c r="J692" s="55"/>
      <c r="K692" s="56">
        <v>73360</v>
      </c>
      <c r="L692" s="57">
        <v>4</v>
      </c>
      <c r="M692" s="58"/>
    </row>
    <row r="693" spans="1:13" x14ac:dyDescent="0.25">
      <c r="A693" s="42" t="s">
        <v>984</v>
      </c>
      <c r="B693" s="49" t="s">
        <v>285</v>
      </c>
      <c r="C693" s="42" t="s">
        <v>930</v>
      </c>
      <c r="D693" s="75">
        <v>458734969</v>
      </c>
      <c r="E693" s="76">
        <v>9196354278</v>
      </c>
      <c r="F693" s="42" t="s">
        <v>256</v>
      </c>
      <c r="G693" s="52">
        <v>40729</v>
      </c>
      <c r="H693" s="53" t="str">
        <f t="shared" si="20"/>
        <v>Jul</v>
      </c>
      <c r="I693" s="54">
        <f t="shared" ca="1" si="21"/>
        <v>5</v>
      </c>
      <c r="J693" s="55" t="s">
        <v>257</v>
      </c>
      <c r="K693" s="56">
        <v>98840</v>
      </c>
      <c r="L693" s="57">
        <v>5</v>
      </c>
      <c r="M693" s="58"/>
    </row>
    <row r="694" spans="1:13" x14ac:dyDescent="0.25">
      <c r="A694" s="42" t="s">
        <v>985</v>
      </c>
      <c r="B694" s="49" t="s">
        <v>245</v>
      </c>
      <c r="C694" s="42" t="s">
        <v>930</v>
      </c>
      <c r="D694" s="75">
        <v>667745362</v>
      </c>
      <c r="E694" s="76">
        <v>2522952173</v>
      </c>
      <c r="F694" s="42" t="s">
        <v>247</v>
      </c>
      <c r="G694" s="52">
        <v>40729</v>
      </c>
      <c r="H694" s="53" t="str">
        <f t="shared" si="20"/>
        <v>Jul</v>
      </c>
      <c r="I694" s="54">
        <f t="shared" ca="1" si="21"/>
        <v>5</v>
      </c>
      <c r="J694" s="55"/>
      <c r="K694" s="56">
        <v>103250</v>
      </c>
      <c r="L694" s="57">
        <v>5</v>
      </c>
      <c r="M694" s="58"/>
    </row>
    <row r="695" spans="1:13" x14ac:dyDescent="0.25">
      <c r="A695" s="42" t="s">
        <v>986</v>
      </c>
      <c r="B695" s="49" t="s">
        <v>285</v>
      </c>
      <c r="C695" s="42" t="s">
        <v>930</v>
      </c>
      <c r="D695" s="75">
        <v>862698919</v>
      </c>
      <c r="E695" s="76">
        <v>2522780847</v>
      </c>
      <c r="F695" s="42" t="s">
        <v>256</v>
      </c>
      <c r="G695" s="52">
        <v>39329</v>
      </c>
      <c r="H695" s="53" t="str">
        <f t="shared" si="20"/>
        <v>Sep</v>
      </c>
      <c r="I695" s="54">
        <f t="shared" ca="1" si="21"/>
        <v>9</v>
      </c>
      <c r="J695" s="55" t="s">
        <v>262</v>
      </c>
      <c r="K695" s="56">
        <v>57940</v>
      </c>
      <c r="L695" s="57">
        <v>4</v>
      </c>
      <c r="M695" s="58"/>
    </row>
    <row r="696" spans="1:13" x14ac:dyDescent="0.25">
      <c r="A696" s="42" t="s">
        <v>987</v>
      </c>
      <c r="B696" s="49" t="s">
        <v>271</v>
      </c>
      <c r="C696" s="42" t="s">
        <v>930</v>
      </c>
      <c r="D696" s="75">
        <v>750006979</v>
      </c>
      <c r="E696" s="76">
        <v>2528444054</v>
      </c>
      <c r="F696" s="42" t="s">
        <v>261</v>
      </c>
      <c r="G696" s="52">
        <v>35043</v>
      </c>
      <c r="H696" s="53" t="str">
        <f t="shared" si="20"/>
        <v>Dec</v>
      </c>
      <c r="I696" s="54">
        <f t="shared" ca="1" si="21"/>
        <v>20</v>
      </c>
      <c r="J696" s="55" t="s">
        <v>267</v>
      </c>
      <c r="K696" s="56">
        <v>33250</v>
      </c>
      <c r="L696" s="57">
        <v>3</v>
      </c>
      <c r="M696" s="58"/>
    </row>
    <row r="697" spans="1:13" x14ac:dyDescent="0.25">
      <c r="A697" s="42" t="s">
        <v>988</v>
      </c>
      <c r="B697" s="49" t="s">
        <v>285</v>
      </c>
      <c r="C697" s="42" t="s">
        <v>930</v>
      </c>
      <c r="D697" s="75">
        <v>763182349</v>
      </c>
      <c r="E697" s="76">
        <v>2527780776</v>
      </c>
      <c r="F697" s="42" t="s">
        <v>247</v>
      </c>
      <c r="G697" s="52">
        <v>35127</v>
      </c>
      <c r="H697" s="53" t="str">
        <f t="shared" si="20"/>
        <v>Mar</v>
      </c>
      <c r="I697" s="54">
        <f t="shared" ca="1" si="21"/>
        <v>20</v>
      </c>
      <c r="J697" s="55"/>
      <c r="K697" s="56">
        <v>90660</v>
      </c>
      <c r="L697" s="57">
        <v>3</v>
      </c>
      <c r="M697" s="58"/>
    </row>
    <row r="698" spans="1:13" x14ac:dyDescent="0.25">
      <c r="A698" s="42" t="s">
        <v>989</v>
      </c>
      <c r="B698" s="49" t="s">
        <v>245</v>
      </c>
      <c r="C698" s="42" t="s">
        <v>930</v>
      </c>
      <c r="D698" s="75">
        <v>877574472</v>
      </c>
      <c r="E698" s="76">
        <v>2524100997</v>
      </c>
      <c r="F698" s="42" t="s">
        <v>247</v>
      </c>
      <c r="G698" s="52">
        <v>34402</v>
      </c>
      <c r="H698" s="53" t="str">
        <f t="shared" si="20"/>
        <v>Mar</v>
      </c>
      <c r="I698" s="54">
        <f t="shared" ca="1" si="21"/>
        <v>22</v>
      </c>
      <c r="J698" s="55"/>
      <c r="K698" s="56">
        <v>41620</v>
      </c>
      <c r="L698" s="57">
        <v>5</v>
      </c>
      <c r="M698" s="58"/>
    </row>
    <row r="699" spans="1:13" x14ac:dyDescent="0.25">
      <c r="A699" s="42" t="s">
        <v>990</v>
      </c>
      <c r="B699" s="49" t="s">
        <v>271</v>
      </c>
      <c r="C699" s="42" t="s">
        <v>930</v>
      </c>
      <c r="D699" s="75">
        <v>308317457</v>
      </c>
      <c r="E699" s="76">
        <v>9192729524</v>
      </c>
      <c r="F699" s="42" t="s">
        <v>256</v>
      </c>
      <c r="G699" s="52">
        <v>41681</v>
      </c>
      <c r="H699" s="53" t="str">
        <f t="shared" si="20"/>
        <v>Feb</v>
      </c>
      <c r="I699" s="54">
        <f t="shared" ca="1" si="21"/>
        <v>2</v>
      </c>
      <c r="J699" s="55" t="s">
        <v>257</v>
      </c>
      <c r="K699" s="56">
        <v>27640</v>
      </c>
      <c r="L699" s="57">
        <v>4</v>
      </c>
      <c r="M699" s="58"/>
    </row>
    <row r="700" spans="1:13" x14ac:dyDescent="0.25">
      <c r="A700" s="42" t="s">
        <v>991</v>
      </c>
      <c r="B700" s="49" t="s">
        <v>251</v>
      </c>
      <c r="C700" s="42" t="s">
        <v>930</v>
      </c>
      <c r="D700" s="75">
        <v>120361975</v>
      </c>
      <c r="E700" s="76">
        <v>2521789943</v>
      </c>
      <c r="F700" s="42" t="s">
        <v>256</v>
      </c>
      <c r="G700" s="52">
        <v>38496</v>
      </c>
      <c r="H700" s="53" t="str">
        <f t="shared" si="20"/>
        <v>May</v>
      </c>
      <c r="I700" s="54">
        <f t="shared" ca="1" si="21"/>
        <v>11</v>
      </c>
      <c r="J700" s="55" t="s">
        <v>276</v>
      </c>
      <c r="K700" s="56">
        <v>72360</v>
      </c>
      <c r="L700" s="57">
        <v>2</v>
      </c>
      <c r="M700" s="58"/>
    </row>
    <row r="701" spans="1:13" x14ac:dyDescent="0.25">
      <c r="A701" s="42" t="s">
        <v>992</v>
      </c>
      <c r="B701" s="49" t="s">
        <v>280</v>
      </c>
      <c r="C701" s="42" t="s">
        <v>930</v>
      </c>
      <c r="D701" s="75">
        <v>749768847</v>
      </c>
      <c r="E701" s="76">
        <v>2528552110</v>
      </c>
      <c r="F701" s="42" t="s">
        <v>247</v>
      </c>
      <c r="G701" s="52">
        <v>36281</v>
      </c>
      <c r="H701" s="53" t="str">
        <f t="shared" si="20"/>
        <v>May</v>
      </c>
      <c r="I701" s="54">
        <f t="shared" ca="1" si="21"/>
        <v>17</v>
      </c>
      <c r="J701" s="55"/>
      <c r="K701" s="56">
        <v>50120</v>
      </c>
      <c r="L701" s="57">
        <v>5</v>
      </c>
      <c r="M701" s="58"/>
    </row>
    <row r="702" spans="1:13" x14ac:dyDescent="0.25">
      <c r="A702" s="42" t="s">
        <v>993</v>
      </c>
      <c r="B702" s="49" t="s">
        <v>280</v>
      </c>
      <c r="C702" s="42" t="s">
        <v>930</v>
      </c>
      <c r="D702" s="75">
        <v>276873359</v>
      </c>
      <c r="E702" s="76">
        <v>2522304625</v>
      </c>
      <c r="F702" s="42" t="s">
        <v>256</v>
      </c>
      <c r="G702" s="52">
        <v>40172</v>
      </c>
      <c r="H702" s="53" t="str">
        <f t="shared" si="20"/>
        <v>Dec</v>
      </c>
      <c r="I702" s="54">
        <f t="shared" ca="1" si="21"/>
        <v>6</v>
      </c>
      <c r="J702" s="55" t="s">
        <v>267</v>
      </c>
      <c r="K702" s="56">
        <v>30830</v>
      </c>
      <c r="L702" s="57">
        <v>2</v>
      </c>
      <c r="M702" s="58"/>
    </row>
    <row r="703" spans="1:13" x14ac:dyDescent="0.25">
      <c r="A703" s="42" t="s">
        <v>994</v>
      </c>
      <c r="B703" s="49" t="s">
        <v>280</v>
      </c>
      <c r="C703" s="42" t="s">
        <v>930</v>
      </c>
      <c r="D703" s="75">
        <v>643984096</v>
      </c>
      <c r="E703" s="76">
        <v>9191630739</v>
      </c>
      <c r="F703" s="42" t="s">
        <v>247</v>
      </c>
      <c r="G703" s="52">
        <v>34414</v>
      </c>
      <c r="H703" s="53" t="str">
        <f t="shared" si="20"/>
        <v>Mar</v>
      </c>
      <c r="I703" s="54">
        <f t="shared" ca="1" si="21"/>
        <v>22</v>
      </c>
      <c r="J703" s="55"/>
      <c r="K703" s="56">
        <v>31220</v>
      </c>
      <c r="L703" s="57">
        <v>5</v>
      </c>
      <c r="M703" s="58"/>
    </row>
    <row r="704" spans="1:13" x14ac:dyDescent="0.25">
      <c r="A704" s="42" t="s">
        <v>995</v>
      </c>
      <c r="B704" s="49" t="s">
        <v>245</v>
      </c>
      <c r="C704" s="42" t="s">
        <v>930</v>
      </c>
      <c r="D704" s="75">
        <v>145495793</v>
      </c>
      <c r="E704" s="76">
        <v>2521603964</v>
      </c>
      <c r="F704" s="42" t="s">
        <v>261</v>
      </c>
      <c r="G704" s="52">
        <v>35961</v>
      </c>
      <c r="H704" s="53" t="str">
        <f t="shared" si="20"/>
        <v>Jun</v>
      </c>
      <c r="I704" s="54">
        <f t="shared" ca="1" si="21"/>
        <v>18</v>
      </c>
      <c r="J704" s="55" t="s">
        <v>276</v>
      </c>
      <c r="K704" s="56">
        <v>27600</v>
      </c>
      <c r="L704" s="57">
        <v>4</v>
      </c>
      <c r="M704" s="58"/>
    </row>
    <row r="705" spans="1:13" x14ac:dyDescent="0.25">
      <c r="A705" s="42" t="s">
        <v>996</v>
      </c>
      <c r="B705" s="49" t="s">
        <v>280</v>
      </c>
      <c r="C705" s="42" t="s">
        <v>930</v>
      </c>
      <c r="D705" s="75">
        <v>311309049</v>
      </c>
      <c r="E705" s="76">
        <v>2527560634</v>
      </c>
      <c r="F705" s="42" t="s">
        <v>256</v>
      </c>
      <c r="G705" s="52">
        <v>37244</v>
      </c>
      <c r="H705" s="53" t="str">
        <f t="shared" si="20"/>
        <v>Dec</v>
      </c>
      <c r="I705" s="54">
        <f t="shared" ca="1" si="21"/>
        <v>14</v>
      </c>
      <c r="J705" s="55" t="s">
        <v>276</v>
      </c>
      <c r="K705" s="56">
        <v>93220</v>
      </c>
      <c r="L705" s="57">
        <v>3</v>
      </c>
      <c r="M705" s="58"/>
    </row>
    <row r="706" spans="1:13" x14ac:dyDescent="0.25">
      <c r="A706" s="42" t="s">
        <v>997</v>
      </c>
      <c r="B706" s="49" t="s">
        <v>251</v>
      </c>
      <c r="C706" s="42" t="s">
        <v>930</v>
      </c>
      <c r="D706" s="75">
        <v>900160539</v>
      </c>
      <c r="E706" s="76">
        <v>2522749909</v>
      </c>
      <c r="F706" s="42" t="s">
        <v>261</v>
      </c>
      <c r="G706" s="52">
        <v>37366</v>
      </c>
      <c r="H706" s="53" t="str">
        <f t="shared" ref="H706:H742" si="22">CHOOSE(MONTH(G706),"Jan","Feb","Mar","Apr","May","Jun","Jul","Aug","Sep","Oct","Nov","Dec")</f>
        <v>Apr</v>
      </c>
      <c r="I706" s="54">
        <f t="shared" ref="I706:I742" ca="1" si="23">DATEDIF(G706,TODAY(),"Y")</f>
        <v>14</v>
      </c>
      <c r="J706" s="55" t="s">
        <v>267</v>
      </c>
      <c r="K706" s="56">
        <v>23790</v>
      </c>
      <c r="L706" s="57">
        <v>2</v>
      </c>
      <c r="M706" s="58"/>
    </row>
    <row r="707" spans="1:13" x14ac:dyDescent="0.25">
      <c r="A707" s="42" t="s">
        <v>998</v>
      </c>
      <c r="B707" s="49" t="s">
        <v>251</v>
      </c>
      <c r="C707" s="42" t="s">
        <v>930</v>
      </c>
      <c r="D707" s="75">
        <v>759471070</v>
      </c>
      <c r="E707" s="76">
        <v>2525402828</v>
      </c>
      <c r="F707" s="42" t="s">
        <v>256</v>
      </c>
      <c r="G707" s="52">
        <v>38010</v>
      </c>
      <c r="H707" s="53" t="str">
        <f t="shared" si="22"/>
        <v>Jan</v>
      </c>
      <c r="I707" s="54">
        <f t="shared" ca="1" si="23"/>
        <v>12</v>
      </c>
      <c r="J707" s="55" t="s">
        <v>283</v>
      </c>
      <c r="K707" s="56">
        <v>94450</v>
      </c>
      <c r="L707" s="57">
        <v>2</v>
      </c>
      <c r="M707" s="58"/>
    </row>
    <row r="708" spans="1:13" x14ac:dyDescent="0.25">
      <c r="A708" s="42" t="s">
        <v>999</v>
      </c>
      <c r="B708" s="49" t="s">
        <v>285</v>
      </c>
      <c r="C708" s="42" t="s">
        <v>930</v>
      </c>
      <c r="D708" s="75">
        <v>879114558</v>
      </c>
      <c r="E708" s="76">
        <v>9194557504</v>
      </c>
      <c r="F708" s="42" t="s">
        <v>261</v>
      </c>
      <c r="G708" s="52">
        <v>37919</v>
      </c>
      <c r="H708" s="53" t="str">
        <f t="shared" si="22"/>
        <v>Oct</v>
      </c>
      <c r="I708" s="54">
        <f t="shared" ca="1" si="23"/>
        <v>13</v>
      </c>
      <c r="J708" s="55" t="s">
        <v>257</v>
      </c>
      <c r="K708" s="56">
        <v>20650</v>
      </c>
      <c r="L708" s="57">
        <v>5</v>
      </c>
      <c r="M708" s="58"/>
    </row>
    <row r="709" spans="1:13" x14ac:dyDescent="0.25">
      <c r="A709" s="42" t="s">
        <v>1000</v>
      </c>
      <c r="B709" s="49" t="s">
        <v>285</v>
      </c>
      <c r="C709" s="42" t="s">
        <v>930</v>
      </c>
      <c r="D709" s="75">
        <v>483483618</v>
      </c>
      <c r="E709" s="76">
        <v>2526459263</v>
      </c>
      <c r="F709" s="42" t="s">
        <v>256</v>
      </c>
      <c r="G709" s="52">
        <v>36138</v>
      </c>
      <c r="H709" s="53" t="str">
        <f t="shared" si="22"/>
        <v>Dec</v>
      </c>
      <c r="I709" s="54">
        <f t="shared" ca="1" si="23"/>
        <v>17</v>
      </c>
      <c r="J709" s="55" t="s">
        <v>283</v>
      </c>
      <c r="K709" s="56">
        <v>40310</v>
      </c>
      <c r="L709" s="57">
        <v>5</v>
      </c>
      <c r="M709" s="58"/>
    </row>
    <row r="710" spans="1:13" x14ac:dyDescent="0.25">
      <c r="A710" s="42" t="s">
        <v>1001</v>
      </c>
      <c r="B710" s="49" t="s">
        <v>280</v>
      </c>
      <c r="C710" s="42" t="s">
        <v>930</v>
      </c>
      <c r="D710" s="75">
        <v>651999482</v>
      </c>
      <c r="E710" s="76">
        <v>2523014821</v>
      </c>
      <c r="F710" s="42" t="s">
        <v>256</v>
      </c>
      <c r="G710" s="52">
        <v>40680</v>
      </c>
      <c r="H710" s="53" t="str">
        <f t="shared" si="22"/>
        <v>May</v>
      </c>
      <c r="I710" s="54">
        <f t="shared" ca="1" si="23"/>
        <v>5</v>
      </c>
      <c r="J710" s="55" t="s">
        <v>257</v>
      </c>
      <c r="K710" s="56">
        <v>27380</v>
      </c>
      <c r="L710" s="57">
        <v>5</v>
      </c>
      <c r="M710" s="58"/>
    </row>
    <row r="711" spans="1:13" x14ac:dyDescent="0.25">
      <c r="A711" s="42" t="s">
        <v>1002</v>
      </c>
      <c r="B711" s="49" t="s">
        <v>271</v>
      </c>
      <c r="C711" s="42" t="s">
        <v>930</v>
      </c>
      <c r="D711" s="75">
        <v>317749924</v>
      </c>
      <c r="E711" s="76">
        <v>9193441810</v>
      </c>
      <c r="F711" s="42" t="s">
        <v>247</v>
      </c>
      <c r="G711" s="52">
        <v>34978</v>
      </c>
      <c r="H711" s="53" t="str">
        <f t="shared" si="22"/>
        <v>Oct</v>
      </c>
      <c r="I711" s="54">
        <f t="shared" ca="1" si="23"/>
        <v>21</v>
      </c>
      <c r="J711" s="55"/>
      <c r="K711" s="56">
        <v>75950</v>
      </c>
      <c r="L711" s="57">
        <v>5</v>
      </c>
      <c r="M711" s="58"/>
    </row>
    <row r="712" spans="1:13" x14ac:dyDescent="0.25">
      <c r="A712" s="42" t="s">
        <v>1003</v>
      </c>
      <c r="B712" s="49" t="s">
        <v>266</v>
      </c>
      <c r="C712" s="42" t="s">
        <v>930</v>
      </c>
      <c r="D712" s="75">
        <v>616055292</v>
      </c>
      <c r="E712" s="76">
        <v>9192913490</v>
      </c>
      <c r="F712" s="42" t="s">
        <v>256</v>
      </c>
      <c r="G712" s="52">
        <v>34922</v>
      </c>
      <c r="H712" s="53" t="str">
        <f t="shared" si="22"/>
        <v>Aug</v>
      </c>
      <c r="I712" s="54">
        <f t="shared" ca="1" si="23"/>
        <v>21</v>
      </c>
      <c r="J712" s="55" t="s">
        <v>267</v>
      </c>
      <c r="K712" s="56">
        <v>38590</v>
      </c>
      <c r="L712" s="57">
        <v>3</v>
      </c>
      <c r="M712" s="58"/>
    </row>
    <row r="713" spans="1:13" x14ac:dyDescent="0.25">
      <c r="A713" s="42" t="s">
        <v>1004</v>
      </c>
      <c r="B713" s="49" t="s">
        <v>271</v>
      </c>
      <c r="C713" s="42" t="s">
        <v>930</v>
      </c>
      <c r="D713" s="75">
        <v>318723704</v>
      </c>
      <c r="E713" s="76">
        <v>9196526117</v>
      </c>
      <c r="F713" s="42" t="s">
        <v>256</v>
      </c>
      <c r="G713" s="52">
        <v>35426</v>
      </c>
      <c r="H713" s="53" t="str">
        <f t="shared" si="22"/>
        <v>Dec</v>
      </c>
      <c r="I713" s="54">
        <f t="shared" ca="1" si="23"/>
        <v>19</v>
      </c>
      <c r="J713" s="55" t="s">
        <v>283</v>
      </c>
      <c r="K713" s="56">
        <v>88620</v>
      </c>
      <c r="L713" s="57">
        <v>2</v>
      </c>
      <c r="M713" s="58"/>
    </row>
    <row r="714" spans="1:13" x14ac:dyDescent="0.25">
      <c r="A714" s="42" t="s">
        <v>1005</v>
      </c>
      <c r="B714" s="49" t="s">
        <v>266</v>
      </c>
      <c r="C714" s="42" t="s">
        <v>930</v>
      </c>
      <c r="D714" s="75">
        <v>626648632</v>
      </c>
      <c r="E714" s="76">
        <v>2526412482</v>
      </c>
      <c r="F714" s="42" t="s">
        <v>247</v>
      </c>
      <c r="G714" s="52">
        <v>38454</v>
      </c>
      <c r="H714" s="53" t="str">
        <f t="shared" si="22"/>
        <v>Apr</v>
      </c>
      <c r="I714" s="54">
        <f t="shared" ca="1" si="23"/>
        <v>11</v>
      </c>
      <c r="J714" s="55"/>
      <c r="K714" s="56">
        <v>58910</v>
      </c>
      <c r="L714" s="57">
        <v>4</v>
      </c>
      <c r="M714" s="58"/>
    </row>
    <row r="715" spans="1:13" x14ac:dyDescent="0.25">
      <c r="A715" s="42" t="s">
        <v>1006</v>
      </c>
      <c r="B715" s="49" t="s">
        <v>285</v>
      </c>
      <c r="C715" s="42" t="s">
        <v>930</v>
      </c>
      <c r="D715" s="75">
        <v>892040187</v>
      </c>
      <c r="E715" s="76">
        <v>2524877123</v>
      </c>
      <c r="F715" s="42" t="s">
        <v>256</v>
      </c>
      <c r="G715" s="52">
        <v>35287</v>
      </c>
      <c r="H715" s="53" t="str">
        <f t="shared" si="22"/>
        <v>Aug</v>
      </c>
      <c r="I715" s="54">
        <f t="shared" ca="1" si="23"/>
        <v>20</v>
      </c>
      <c r="J715" s="55" t="s">
        <v>283</v>
      </c>
      <c r="K715" s="56">
        <v>104660</v>
      </c>
      <c r="L715" s="57">
        <v>1</v>
      </c>
      <c r="M715" s="58"/>
    </row>
    <row r="716" spans="1:13" x14ac:dyDescent="0.25">
      <c r="A716" s="42" t="s">
        <v>1007</v>
      </c>
      <c r="B716" s="49" t="s">
        <v>271</v>
      </c>
      <c r="C716" s="42" t="s">
        <v>930</v>
      </c>
      <c r="D716" s="75">
        <v>793256568</v>
      </c>
      <c r="E716" s="76">
        <v>9196999991</v>
      </c>
      <c r="F716" s="42" t="s">
        <v>256</v>
      </c>
      <c r="G716" s="52">
        <v>36365</v>
      </c>
      <c r="H716" s="53" t="str">
        <f t="shared" si="22"/>
        <v>Jul</v>
      </c>
      <c r="I716" s="54">
        <f t="shared" ca="1" si="23"/>
        <v>17</v>
      </c>
      <c r="J716" s="55" t="s">
        <v>257</v>
      </c>
      <c r="K716" s="56">
        <v>32560</v>
      </c>
      <c r="L716" s="57">
        <v>5</v>
      </c>
      <c r="M716" s="58"/>
    </row>
    <row r="717" spans="1:13" x14ac:dyDescent="0.25">
      <c r="A717" s="42" t="s">
        <v>1008</v>
      </c>
      <c r="B717" s="49" t="s">
        <v>285</v>
      </c>
      <c r="C717" s="42" t="s">
        <v>930</v>
      </c>
      <c r="D717" s="75">
        <v>240241467</v>
      </c>
      <c r="E717" s="76">
        <v>2524914916</v>
      </c>
      <c r="F717" s="42" t="s">
        <v>252</v>
      </c>
      <c r="G717" s="52">
        <v>36577</v>
      </c>
      <c r="H717" s="53" t="str">
        <f t="shared" si="22"/>
        <v>Feb</v>
      </c>
      <c r="I717" s="54">
        <f t="shared" ca="1" si="23"/>
        <v>16</v>
      </c>
      <c r="J717" s="55"/>
      <c r="K717" s="56">
        <v>34520</v>
      </c>
      <c r="L717" s="57">
        <v>3</v>
      </c>
      <c r="M717" s="58"/>
    </row>
    <row r="718" spans="1:13" x14ac:dyDescent="0.25">
      <c r="A718" s="42" t="s">
        <v>1009</v>
      </c>
      <c r="B718" s="49" t="s">
        <v>271</v>
      </c>
      <c r="C718" s="42" t="s">
        <v>930</v>
      </c>
      <c r="D718" s="75">
        <v>159594851</v>
      </c>
      <c r="E718" s="76">
        <v>9194084456</v>
      </c>
      <c r="F718" s="42" t="s">
        <v>256</v>
      </c>
      <c r="G718" s="52">
        <v>41681</v>
      </c>
      <c r="H718" s="53" t="str">
        <f t="shared" si="22"/>
        <v>Feb</v>
      </c>
      <c r="I718" s="54">
        <f t="shared" ca="1" si="23"/>
        <v>2</v>
      </c>
      <c r="J718" s="55" t="s">
        <v>276</v>
      </c>
      <c r="K718" s="56">
        <v>48310</v>
      </c>
      <c r="L718" s="57">
        <v>5</v>
      </c>
      <c r="M718" s="58"/>
    </row>
    <row r="719" spans="1:13" x14ac:dyDescent="0.25">
      <c r="A719" s="42" t="s">
        <v>1010</v>
      </c>
      <c r="B719" s="49" t="s">
        <v>271</v>
      </c>
      <c r="C719" s="42" t="s">
        <v>930</v>
      </c>
      <c r="D719" s="75">
        <v>876082195</v>
      </c>
      <c r="E719" s="76">
        <v>2526049607</v>
      </c>
      <c r="F719" s="42" t="s">
        <v>256</v>
      </c>
      <c r="G719" s="52">
        <v>37331</v>
      </c>
      <c r="H719" s="53" t="str">
        <f t="shared" si="22"/>
        <v>Mar</v>
      </c>
      <c r="I719" s="54">
        <f t="shared" ca="1" si="23"/>
        <v>14</v>
      </c>
      <c r="J719" s="55" t="s">
        <v>276</v>
      </c>
      <c r="K719" s="56">
        <v>74220</v>
      </c>
      <c r="L719" s="57">
        <v>2</v>
      </c>
      <c r="M719" s="58"/>
    </row>
    <row r="720" spans="1:13" x14ac:dyDescent="0.25">
      <c r="A720" s="42" t="s">
        <v>1011</v>
      </c>
      <c r="B720" s="49" t="s">
        <v>245</v>
      </c>
      <c r="C720" s="42" t="s">
        <v>930</v>
      </c>
      <c r="D720" s="75">
        <v>502580266</v>
      </c>
      <c r="E720" s="76">
        <v>9197103200</v>
      </c>
      <c r="F720" s="42" t="s">
        <v>252</v>
      </c>
      <c r="G720" s="52">
        <v>39647</v>
      </c>
      <c r="H720" s="53" t="str">
        <f t="shared" si="22"/>
        <v>Jul</v>
      </c>
      <c r="I720" s="54">
        <f t="shared" ca="1" si="23"/>
        <v>8</v>
      </c>
      <c r="J720" s="55"/>
      <c r="K720" s="56">
        <v>44810</v>
      </c>
      <c r="L720" s="57">
        <v>2</v>
      </c>
      <c r="M720" s="58"/>
    </row>
    <row r="721" spans="1:13" x14ac:dyDescent="0.25">
      <c r="A721" s="42" t="s">
        <v>1012</v>
      </c>
      <c r="B721" s="49" t="s">
        <v>285</v>
      </c>
      <c r="C721" s="42" t="s">
        <v>930</v>
      </c>
      <c r="D721" s="75">
        <v>287476507</v>
      </c>
      <c r="E721" s="76">
        <v>9191509619</v>
      </c>
      <c r="F721" s="42" t="s">
        <v>261</v>
      </c>
      <c r="G721" s="52">
        <v>35006</v>
      </c>
      <c r="H721" s="53" t="str">
        <f t="shared" si="22"/>
        <v>Nov</v>
      </c>
      <c r="I721" s="54">
        <f t="shared" ca="1" si="23"/>
        <v>21</v>
      </c>
      <c r="J721" s="55" t="s">
        <v>257</v>
      </c>
      <c r="K721" s="56">
        <v>23920</v>
      </c>
      <c r="L721" s="57">
        <v>1</v>
      </c>
      <c r="M721" s="58"/>
    </row>
    <row r="722" spans="1:13" x14ac:dyDescent="0.25">
      <c r="A722" s="42" t="s">
        <v>1013</v>
      </c>
      <c r="B722" s="49" t="s">
        <v>245</v>
      </c>
      <c r="C722" s="42" t="s">
        <v>930</v>
      </c>
      <c r="D722" s="75">
        <v>610340294</v>
      </c>
      <c r="E722" s="76">
        <v>9198443818</v>
      </c>
      <c r="F722" s="42" t="s">
        <v>247</v>
      </c>
      <c r="G722" s="52">
        <v>34821</v>
      </c>
      <c r="H722" s="53" t="str">
        <f t="shared" si="22"/>
        <v>May</v>
      </c>
      <c r="I722" s="54">
        <f t="shared" ca="1" si="23"/>
        <v>21</v>
      </c>
      <c r="J722" s="55"/>
      <c r="K722" s="56">
        <v>84360</v>
      </c>
      <c r="L722" s="57">
        <v>3</v>
      </c>
      <c r="M722" s="58"/>
    </row>
    <row r="723" spans="1:13" x14ac:dyDescent="0.25">
      <c r="A723" s="42" t="s">
        <v>1014</v>
      </c>
      <c r="B723" s="49" t="s">
        <v>285</v>
      </c>
      <c r="C723" s="42" t="s">
        <v>930</v>
      </c>
      <c r="D723" s="75">
        <v>121173068</v>
      </c>
      <c r="E723" s="76">
        <v>9196778600</v>
      </c>
      <c r="F723" s="42" t="s">
        <v>256</v>
      </c>
      <c r="G723" s="52">
        <v>41569</v>
      </c>
      <c r="H723" s="53" t="str">
        <f t="shared" si="22"/>
        <v>Oct</v>
      </c>
      <c r="I723" s="54">
        <f t="shared" ca="1" si="23"/>
        <v>3</v>
      </c>
      <c r="J723" s="55" t="s">
        <v>257</v>
      </c>
      <c r="K723" s="56">
        <v>55670</v>
      </c>
      <c r="L723" s="57">
        <v>5</v>
      </c>
      <c r="M723" s="58"/>
    </row>
    <row r="724" spans="1:13" x14ac:dyDescent="0.25">
      <c r="A724" s="42" t="s">
        <v>1015</v>
      </c>
      <c r="B724" s="49" t="s">
        <v>280</v>
      </c>
      <c r="C724" s="42" t="s">
        <v>930</v>
      </c>
      <c r="D724" s="75">
        <v>641962645</v>
      </c>
      <c r="E724" s="76">
        <v>9196965088</v>
      </c>
      <c r="F724" s="42" t="s">
        <v>247</v>
      </c>
      <c r="G724" s="52">
        <v>35136</v>
      </c>
      <c r="H724" s="53" t="str">
        <f t="shared" si="22"/>
        <v>Mar</v>
      </c>
      <c r="I724" s="54">
        <f t="shared" ca="1" si="23"/>
        <v>20</v>
      </c>
      <c r="J724" s="55"/>
      <c r="K724" s="56">
        <v>94310</v>
      </c>
      <c r="L724" s="57">
        <v>1</v>
      </c>
      <c r="M724" s="58"/>
    </row>
    <row r="725" spans="1:13" x14ac:dyDescent="0.25">
      <c r="A725" s="42" t="s">
        <v>1016</v>
      </c>
      <c r="B725" s="49" t="s">
        <v>285</v>
      </c>
      <c r="C725" s="42" t="s">
        <v>930</v>
      </c>
      <c r="D725" s="75">
        <v>992674973</v>
      </c>
      <c r="E725" s="76">
        <v>2526088101</v>
      </c>
      <c r="F725" s="42" t="s">
        <v>256</v>
      </c>
      <c r="G725" s="52">
        <v>36053</v>
      </c>
      <c r="H725" s="53" t="str">
        <f t="shared" si="22"/>
        <v>Sep</v>
      </c>
      <c r="I725" s="54">
        <f t="shared" ca="1" si="23"/>
        <v>18</v>
      </c>
      <c r="J725" s="55" t="s">
        <v>267</v>
      </c>
      <c r="K725" s="56">
        <v>77740</v>
      </c>
      <c r="L725" s="57">
        <v>5</v>
      </c>
      <c r="M725" s="58"/>
    </row>
    <row r="726" spans="1:13" x14ac:dyDescent="0.25">
      <c r="A726" s="42" t="s">
        <v>1017</v>
      </c>
      <c r="B726" s="49" t="s">
        <v>251</v>
      </c>
      <c r="C726" s="42" t="s">
        <v>930</v>
      </c>
      <c r="D726" s="75">
        <v>332494481</v>
      </c>
      <c r="E726" s="76">
        <v>9192094386</v>
      </c>
      <c r="F726" s="42" t="s">
        <v>256</v>
      </c>
      <c r="G726" s="52">
        <v>37081</v>
      </c>
      <c r="H726" s="53" t="str">
        <f t="shared" si="22"/>
        <v>Jul</v>
      </c>
      <c r="I726" s="54">
        <f t="shared" ca="1" si="23"/>
        <v>15</v>
      </c>
      <c r="J726" s="55" t="s">
        <v>283</v>
      </c>
      <c r="K726" s="56">
        <v>58090</v>
      </c>
      <c r="L726" s="57">
        <v>5</v>
      </c>
      <c r="M726" s="58"/>
    </row>
    <row r="727" spans="1:13" x14ac:dyDescent="0.25">
      <c r="A727" s="42" t="s">
        <v>1018</v>
      </c>
      <c r="B727" s="49" t="s">
        <v>285</v>
      </c>
      <c r="C727" s="42" t="s">
        <v>930</v>
      </c>
      <c r="D727" s="75">
        <v>296641985</v>
      </c>
      <c r="E727" s="76">
        <v>2528217409</v>
      </c>
      <c r="F727" s="42" t="s">
        <v>256</v>
      </c>
      <c r="G727" s="52">
        <v>36628</v>
      </c>
      <c r="H727" s="53" t="str">
        <f t="shared" si="22"/>
        <v>Apr</v>
      </c>
      <c r="I727" s="54">
        <f t="shared" ca="1" si="23"/>
        <v>16</v>
      </c>
      <c r="J727" s="55" t="s">
        <v>283</v>
      </c>
      <c r="K727" s="56">
        <v>49660</v>
      </c>
      <c r="L727" s="57">
        <v>2</v>
      </c>
      <c r="M727" s="58"/>
    </row>
    <row r="728" spans="1:13" x14ac:dyDescent="0.25">
      <c r="A728" s="42" t="s">
        <v>1019</v>
      </c>
      <c r="B728" s="49" t="s">
        <v>266</v>
      </c>
      <c r="C728" s="42" t="s">
        <v>930</v>
      </c>
      <c r="D728" s="75">
        <v>929694686</v>
      </c>
      <c r="E728" s="76">
        <v>9194483888</v>
      </c>
      <c r="F728" s="42" t="s">
        <v>256</v>
      </c>
      <c r="G728" s="52">
        <v>41537</v>
      </c>
      <c r="H728" s="53" t="str">
        <f t="shared" si="22"/>
        <v>Sep</v>
      </c>
      <c r="I728" s="54">
        <f t="shared" ca="1" si="23"/>
        <v>3</v>
      </c>
      <c r="J728" s="55" t="s">
        <v>283</v>
      </c>
      <c r="K728" s="56">
        <v>84880</v>
      </c>
      <c r="L728" s="57">
        <v>1</v>
      </c>
      <c r="M728" s="58"/>
    </row>
    <row r="729" spans="1:13" x14ac:dyDescent="0.25">
      <c r="A729" s="42" t="s">
        <v>1020</v>
      </c>
      <c r="B729" s="49" t="s">
        <v>285</v>
      </c>
      <c r="C729" s="42" t="s">
        <v>930</v>
      </c>
      <c r="D729" s="75">
        <v>186346711</v>
      </c>
      <c r="E729" s="76">
        <v>9194900514</v>
      </c>
      <c r="F729" s="42" t="s">
        <v>256</v>
      </c>
      <c r="G729" s="52">
        <v>37620</v>
      </c>
      <c r="H729" s="53" t="str">
        <f t="shared" si="22"/>
        <v>Dec</v>
      </c>
      <c r="I729" s="54">
        <f t="shared" ca="1" si="23"/>
        <v>13</v>
      </c>
      <c r="J729" s="55" t="s">
        <v>262</v>
      </c>
      <c r="K729" s="56">
        <v>86360</v>
      </c>
      <c r="L729" s="57">
        <v>4</v>
      </c>
      <c r="M729" s="58"/>
    </row>
    <row r="730" spans="1:13" x14ac:dyDescent="0.25">
      <c r="A730" s="42" t="s">
        <v>1021</v>
      </c>
      <c r="B730" s="49" t="s">
        <v>271</v>
      </c>
      <c r="C730" s="42" t="s">
        <v>930</v>
      </c>
      <c r="D730" s="75">
        <v>964255290</v>
      </c>
      <c r="E730" s="76">
        <v>9197446192</v>
      </c>
      <c r="F730" s="42" t="s">
        <v>256</v>
      </c>
      <c r="G730" s="52">
        <v>41019</v>
      </c>
      <c r="H730" s="53" t="str">
        <f t="shared" si="22"/>
        <v>Apr</v>
      </c>
      <c r="I730" s="54">
        <f t="shared" ca="1" si="23"/>
        <v>4</v>
      </c>
      <c r="J730" s="55" t="s">
        <v>283</v>
      </c>
      <c r="K730" s="56">
        <v>41990</v>
      </c>
      <c r="L730" s="57">
        <v>3</v>
      </c>
      <c r="M730" s="58"/>
    </row>
    <row r="731" spans="1:13" x14ac:dyDescent="0.25">
      <c r="A731" s="42" t="s">
        <v>1022</v>
      </c>
      <c r="B731" s="49" t="s">
        <v>251</v>
      </c>
      <c r="C731" s="42" t="s">
        <v>930</v>
      </c>
      <c r="D731" s="75">
        <v>799754905</v>
      </c>
      <c r="E731" s="76">
        <v>2526757210</v>
      </c>
      <c r="F731" s="42" t="s">
        <v>256</v>
      </c>
      <c r="G731" s="52">
        <v>36308</v>
      </c>
      <c r="H731" s="53" t="str">
        <f t="shared" si="22"/>
        <v>May</v>
      </c>
      <c r="I731" s="54">
        <f t="shared" ca="1" si="23"/>
        <v>17</v>
      </c>
      <c r="J731" s="55" t="s">
        <v>257</v>
      </c>
      <c r="K731" s="56">
        <v>38030</v>
      </c>
      <c r="L731" s="57">
        <v>4</v>
      </c>
      <c r="M731" s="58"/>
    </row>
    <row r="732" spans="1:13" x14ac:dyDescent="0.25">
      <c r="A732" s="42" t="s">
        <v>1023</v>
      </c>
      <c r="B732" s="49" t="s">
        <v>280</v>
      </c>
      <c r="C732" s="42" t="s">
        <v>930</v>
      </c>
      <c r="D732" s="75">
        <v>843299208</v>
      </c>
      <c r="E732" s="76">
        <v>9198631557</v>
      </c>
      <c r="F732" s="42" t="s">
        <v>261</v>
      </c>
      <c r="G732" s="52">
        <v>40536</v>
      </c>
      <c r="H732" s="53" t="str">
        <f t="shared" si="22"/>
        <v>Dec</v>
      </c>
      <c r="I732" s="54">
        <f t="shared" ca="1" si="23"/>
        <v>5</v>
      </c>
      <c r="J732" s="55" t="s">
        <v>276</v>
      </c>
      <c r="K732" s="56">
        <v>58900</v>
      </c>
      <c r="L732" s="57">
        <v>5</v>
      </c>
      <c r="M732" s="58"/>
    </row>
    <row r="733" spans="1:13" x14ac:dyDescent="0.25">
      <c r="A733" s="42" t="s">
        <v>1024</v>
      </c>
      <c r="B733" s="49" t="s">
        <v>266</v>
      </c>
      <c r="C733" s="42" t="s">
        <v>1025</v>
      </c>
      <c r="D733" s="75">
        <v>443926890</v>
      </c>
      <c r="E733" s="76">
        <v>2524411859</v>
      </c>
      <c r="F733" s="42" t="s">
        <v>256</v>
      </c>
      <c r="G733" s="52">
        <v>38685</v>
      </c>
      <c r="H733" s="53" t="str">
        <f t="shared" si="22"/>
        <v>Nov</v>
      </c>
      <c r="I733" s="54">
        <f t="shared" ca="1" si="23"/>
        <v>10</v>
      </c>
      <c r="J733" s="55" t="s">
        <v>283</v>
      </c>
      <c r="K733" s="56">
        <v>51360</v>
      </c>
      <c r="L733" s="57">
        <v>5</v>
      </c>
      <c r="M733" s="58"/>
    </row>
    <row r="734" spans="1:13" x14ac:dyDescent="0.25">
      <c r="A734" s="42" t="s">
        <v>1026</v>
      </c>
      <c r="B734" s="49" t="s">
        <v>245</v>
      </c>
      <c r="C734" s="42" t="s">
        <v>1025</v>
      </c>
      <c r="D734" s="75">
        <v>776823797</v>
      </c>
      <c r="E734" s="76">
        <v>9193482736</v>
      </c>
      <c r="F734" s="42" t="s">
        <v>247</v>
      </c>
      <c r="G734" s="52">
        <v>34388</v>
      </c>
      <c r="H734" s="53" t="str">
        <f t="shared" si="22"/>
        <v>Feb</v>
      </c>
      <c r="I734" s="54">
        <f t="shared" ca="1" si="23"/>
        <v>22</v>
      </c>
      <c r="J734" s="55"/>
      <c r="K734" s="56">
        <v>102610</v>
      </c>
      <c r="L734" s="57">
        <v>4</v>
      </c>
      <c r="M734" s="58"/>
    </row>
    <row r="735" spans="1:13" x14ac:dyDescent="0.25">
      <c r="A735" s="42" t="s">
        <v>1027</v>
      </c>
      <c r="B735" s="49" t="s">
        <v>245</v>
      </c>
      <c r="C735" s="42" t="s">
        <v>1025</v>
      </c>
      <c r="D735" s="75">
        <v>797985708</v>
      </c>
      <c r="E735" s="76">
        <v>9193578185</v>
      </c>
      <c r="F735" s="42" t="s">
        <v>256</v>
      </c>
      <c r="G735" s="52">
        <v>38074</v>
      </c>
      <c r="H735" s="53" t="str">
        <f t="shared" si="22"/>
        <v>Mar</v>
      </c>
      <c r="I735" s="54">
        <f t="shared" ca="1" si="23"/>
        <v>12</v>
      </c>
      <c r="J735" s="55" t="s">
        <v>276</v>
      </c>
      <c r="K735" s="56">
        <v>48820</v>
      </c>
      <c r="L735" s="57">
        <v>5</v>
      </c>
      <c r="M735" s="58"/>
    </row>
    <row r="736" spans="1:13" x14ac:dyDescent="0.25">
      <c r="A736" s="42" t="s">
        <v>1028</v>
      </c>
      <c r="B736" s="49" t="s">
        <v>271</v>
      </c>
      <c r="C736" s="42" t="s">
        <v>1025</v>
      </c>
      <c r="D736" s="75">
        <v>510700395</v>
      </c>
      <c r="E736" s="76">
        <v>9196690862</v>
      </c>
      <c r="F736" s="42" t="s">
        <v>256</v>
      </c>
      <c r="G736" s="52">
        <v>37992</v>
      </c>
      <c r="H736" s="53" t="str">
        <f t="shared" si="22"/>
        <v>Jan</v>
      </c>
      <c r="I736" s="54">
        <f t="shared" ca="1" si="23"/>
        <v>12</v>
      </c>
      <c r="J736" s="55" t="s">
        <v>257</v>
      </c>
      <c r="K736" s="56">
        <v>76400</v>
      </c>
      <c r="L736" s="57">
        <v>5</v>
      </c>
      <c r="M736" s="58"/>
    </row>
    <row r="737" spans="1:15" x14ac:dyDescent="0.25">
      <c r="A737" s="42" t="s">
        <v>1029</v>
      </c>
      <c r="B737" s="49" t="s">
        <v>271</v>
      </c>
      <c r="C737" s="42" t="s">
        <v>1025</v>
      </c>
      <c r="D737" s="75">
        <v>106099892</v>
      </c>
      <c r="E737" s="76">
        <v>9194436681</v>
      </c>
      <c r="F737" s="42" t="s">
        <v>247</v>
      </c>
      <c r="G737" s="52">
        <v>41720</v>
      </c>
      <c r="H737" s="53" t="str">
        <f t="shared" si="22"/>
        <v>Mar</v>
      </c>
      <c r="I737" s="54">
        <f t="shared" ca="1" si="23"/>
        <v>2</v>
      </c>
      <c r="J737" s="55"/>
      <c r="K737" s="56">
        <v>79360</v>
      </c>
      <c r="L737" s="57">
        <v>4</v>
      </c>
      <c r="M737" s="58"/>
    </row>
    <row r="738" spans="1:15" x14ac:dyDescent="0.25">
      <c r="A738" s="42" t="s">
        <v>1030</v>
      </c>
      <c r="B738" s="49" t="s">
        <v>285</v>
      </c>
      <c r="C738" s="42" t="s">
        <v>1031</v>
      </c>
      <c r="D738" s="75">
        <v>978092408</v>
      </c>
      <c r="E738" s="76">
        <v>9191888279</v>
      </c>
      <c r="F738" s="42" t="s">
        <v>247</v>
      </c>
      <c r="G738" s="52">
        <v>35526</v>
      </c>
      <c r="H738" s="53" t="str">
        <f t="shared" si="22"/>
        <v>Apr</v>
      </c>
      <c r="I738" s="54">
        <f t="shared" ca="1" si="23"/>
        <v>19</v>
      </c>
      <c r="J738" s="55"/>
      <c r="K738" s="56">
        <v>77660</v>
      </c>
      <c r="L738" s="57">
        <v>5</v>
      </c>
      <c r="M738" s="58"/>
    </row>
    <row r="739" spans="1:15" x14ac:dyDescent="0.25">
      <c r="A739" s="42" t="s">
        <v>1032</v>
      </c>
      <c r="B739" s="49" t="s">
        <v>266</v>
      </c>
      <c r="C739" s="42" t="s">
        <v>1031</v>
      </c>
      <c r="D739" s="75">
        <v>827277063</v>
      </c>
      <c r="E739" s="76">
        <v>2528873234</v>
      </c>
      <c r="F739" s="42" t="s">
        <v>252</v>
      </c>
      <c r="G739" s="52">
        <v>41544</v>
      </c>
      <c r="H739" s="53" t="str">
        <f t="shared" si="22"/>
        <v>Sep</v>
      </c>
      <c r="I739" s="54">
        <f t="shared" ca="1" si="23"/>
        <v>3</v>
      </c>
      <c r="J739" s="55"/>
      <c r="K739" s="56">
        <v>22850</v>
      </c>
      <c r="L739" s="57">
        <v>1</v>
      </c>
      <c r="M739" s="58"/>
      <c r="O739" s="78"/>
    </row>
    <row r="740" spans="1:15" x14ac:dyDescent="0.25">
      <c r="A740" s="42" t="s">
        <v>1033</v>
      </c>
      <c r="B740" s="49" t="s">
        <v>266</v>
      </c>
      <c r="C740" s="42" t="s">
        <v>1031</v>
      </c>
      <c r="D740" s="75">
        <v>495372474</v>
      </c>
      <c r="E740" s="76">
        <v>9194137278</v>
      </c>
      <c r="F740" s="42" t="s">
        <v>261</v>
      </c>
      <c r="G740" s="52">
        <v>37558</v>
      </c>
      <c r="H740" s="53" t="str">
        <f t="shared" si="22"/>
        <v>Oct</v>
      </c>
      <c r="I740" s="54">
        <f t="shared" ca="1" si="23"/>
        <v>14</v>
      </c>
      <c r="J740" s="55" t="s">
        <v>257</v>
      </c>
      <c r="K740" s="56">
        <v>37500</v>
      </c>
      <c r="L740" s="57">
        <v>2</v>
      </c>
      <c r="M740" s="58"/>
    </row>
    <row r="741" spans="1:15" x14ac:dyDescent="0.25">
      <c r="A741" s="42" t="s">
        <v>1034</v>
      </c>
      <c r="B741" s="49" t="s">
        <v>285</v>
      </c>
      <c r="C741" s="42" t="s">
        <v>1031</v>
      </c>
      <c r="D741" s="75">
        <v>183135788</v>
      </c>
      <c r="E741" s="76">
        <v>2521198851</v>
      </c>
      <c r="F741" s="42" t="s">
        <v>247</v>
      </c>
      <c r="G741" s="52">
        <v>35004</v>
      </c>
      <c r="H741" s="53" t="str">
        <f t="shared" si="22"/>
        <v>Nov</v>
      </c>
      <c r="I741" s="54">
        <f t="shared" ca="1" si="23"/>
        <v>21</v>
      </c>
      <c r="J741" s="55"/>
      <c r="K741" s="56">
        <v>72910</v>
      </c>
      <c r="L741" s="57">
        <v>2</v>
      </c>
      <c r="M741" s="58"/>
      <c r="O741" s="78"/>
    </row>
    <row r="742" spans="1:15" x14ac:dyDescent="0.25">
      <c r="A742" s="42" t="s">
        <v>1035</v>
      </c>
      <c r="B742" s="49" t="s">
        <v>251</v>
      </c>
      <c r="C742" s="42" t="s">
        <v>1031</v>
      </c>
      <c r="D742" s="75">
        <v>383616821</v>
      </c>
      <c r="E742" s="76">
        <v>2524989537</v>
      </c>
      <c r="F742" s="42" t="s">
        <v>256</v>
      </c>
      <c r="G742" s="52">
        <v>41385</v>
      </c>
      <c r="H742" s="53" t="str">
        <f t="shared" si="22"/>
        <v>Apr</v>
      </c>
      <c r="I742" s="54">
        <f t="shared" ca="1" si="23"/>
        <v>3</v>
      </c>
      <c r="J742" s="55" t="s">
        <v>257</v>
      </c>
      <c r="K742" s="56">
        <v>56020</v>
      </c>
      <c r="L742" s="57">
        <v>1</v>
      </c>
      <c r="M742" s="58"/>
    </row>
  </sheetData>
  <dataConsolidate/>
  <dataValidations count="1">
    <dataValidation type="whole" allowBlank="1" showInputMessage="1" showErrorMessage="1" sqref="K1:K1048576">
      <formula1>40000</formula1>
      <formula2>60000</formula2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FF"/>
  </sheetPr>
  <dimension ref="A1:I785"/>
  <sheetViews>
    <sheetView zoomScale="145" zoomScaleNormal="145" workbookViewId="0">
      <selection activeCell="B35" sqref="B35"/>
    </sheetView>
  </sheetViews>
  <sheetFormatPr defaultRowHeight="12.75" x14ac:dyDescent="0.2"/>
  <cols>
    <col min="1" max="1" width="37.7109375" style="93" bestFit="1" customWidth="1"/>
    <col min="2" max="2" width="8.7109375" style="93" bestFit="1" customWidth="1"/>
    <col min="3" max="3" width="27.7109375" style="93" bestFit="1" customWidth="1"/>
    <col min="4" max="4" width="9.42578125" style="93" bestFit="1" customWidth="1"/>
    <col min="5" max="5" width="9.5703125" style="93" bestFit="1" customWidth="1"/>
    <col min="6" max="6" width="6.140625" style="93" bestFit="1" customWidth="1"/>
    <col min="7" max="7" width="8.140625" style="93" bestFit="1" customWidth="1"/>
    <col min="8" max="8" width="9.5703125" style="93" bestFit="1" customWidth="1"/>
    <col min="9" max="9" width="10.85546875" style="93" bestFit="1" customWidth="1"/>
    <col min="10" max="16384" width="9.140625" style="93"/>
  </cols>
  <sheetData>
    <row r="1" spans="1:9" x14ac:dyDescent="0.2">
      <c r="A1" s="88" t="s">
        <v>229</v>
      </c>
      <c r="B1" s="89" t="s">
        <v>230</v>
      </c>
      <c r="C1" s="90" t="s">
        <v>231</v>
      </c>
      <c r="D1" s="90" t="s">
        <v>234</v>
      </c>
      <c r="E1" s="91" t="s">
        <v>235</v>
      </c>
      <c r="F1" s="91" t="s">
        <v>237</v>
      </c>
      <c r="G1" s="90" t="s">
        <v>238</v>
      </c>
      <c r="H1" s="92" t="s">
        <v>239</v>
      </c>
      <c r="I1" s="89" t="s">
        <v>240</v>
      </c>
    </row>
    <row r="2" spans="1:9" ht="13.5" x14ac:dyDescent="0.25">
      <c r="A2" s="94" t="s">
        <v>766</v>
      </c>
      <c r="B2" s="95" t="s">
        <v>245</v>
      </c>
      <c r="C2" s="94" t="s">
        <v>246</v>
      </c>
      <c r="D2" s="94" t="s">
        <v>256</v>
      </c>
      <c r="E2" s="96">
        <v>34861</v>
      </c>
      <c r="F2" s="97">
        <f t="shared" ref="F2:F7" ca="1" si="0">DATEDIF(E2,TODAY(),"Y")</f>
        <v>21</v>
      </c>
      <c r="G2" s="98" t="s">
        <v>257</v>
      </c>
      <c r="H2" s="99">
        <v>24550</v>
      </c>
      <c r="I2" s="100">
        <v>1</v>
      </c>
    </row>
    <row r="3" spans="1:9" ht="13.5" x14ac:dyDescent="0.25">
      <c r="A3" s="94" t="s">
        <v>1024</v>
      </c>
      <c r="B3" s="95" t="s">
        <v>245</v>
      </c>
      <c r="C3" s="94" t="s">
        <v>246</v>
      </c>
      <c r="D3" s="94" t="s">
        <v>247</v>
      </c>
      <c r="E3" s="96">
        <v>37107</v>
      </c>
      <c r="F3" s="97">
        <f t="shared" ca="1" si="0"/>
        <v>15</v>
      </c>
      <c r="G3" s="98"/>
      <c r="H3" s="99">
        <v>42540</v>
      </c>
      <c r="I3" s="100">
        <v>5</v>
      </c>
    </row>
    <row r="4" spans="1:9" ht="13.5" x14ac:dyDescent="0.25">
      <c r="A4" s="94" t="s">
        <v>627</v>
      </c>
      <c r="B4" s="95" t="s">
        <v>266</v>
      </c>
      <c r="C4" s="94" t="s">
        <v>246</v>
      </c>
      <c r="D4" s="94" t="s">
        <v>256</v>
      </c>
      <c r="E4" s="96">
        <v>38137</v>
      </c>
      <c r="F4" s="97">
        <f t="shared" ca="1" si="0"/>
        <v>12</v>
      </c>
      <c r="G4" s="98" t="s">
        <v>267</v>
      </c>
      <c r="H4" s="99">
        <v>72830</v>
      </c>
      <c r="I4" s="100">
        <v>2</v>
      </c>
    </row>
    <row r="5" spans="1:9" ht="13.5" x14ac:dyDescent="0.25">
      <c r="A5" s="94" t="s">
        <v>627</v>
      </c>
      <c r="B5" s="95" t="s">
        <v>266</v>
      </c>
      <c r="C5" s="94" t="s">
        <v>246</v>
      </c>
      <c r="D5" s="94" t="s">
        <v>256</v>
      </c>
      <c r="E5" s="96">
        <v>38137</v>
      </c>
      <c r="F5" s="97">
        <f t="shared" ca="1" si="0"/>
        <v>12</v>
      </c>
      <c r="G5" s="98" t="s">
        <v>267</v>
      </c>
      <c r="H5" s="99">
        <v>72830</v>
      </c>
      <c r="I5" s="100">
        <v>2</v>
      </c>
    </row>
    <row r="6" spans="1:9" ht="13.5" x14ac:dyDescent="0.25">
      <c r="A6" s="94" t="s">
        <v>619</v>
      </c>
      <c r="B6" s="95" t="s">
        <v>245</v>
      </c>
      <c r="C6" s="94" t="s">
        <v>246</v>
      </c>
      <c r="D6" s="94" t="s">
        <v>261</v>
      </c>
      <c r="E6" s="96">
        <v>31980</v>
      </c>
      <c r="F6" s="97">
        <f t="shared" ca="1" si="0"/>
        <v>29</v>
      </c>
      <c r="G6" s="98" t="s">
        <v>262</v>
      </c>
      <c r="H6" s="99">
        <v>26795</v>
      </c>
      <c r="I6" s="100">
        <v>4</v>
      </c>
    </row>
    <row r="7" spans="1:9" ht="13.5" x14ac:dyDescent="0.25">
      <c r="A7" s="94" t="s">
        <v>430</v>
      </c>
      <c r="B7" s="95" t="s">
        <v>251</v>
      </c>
      <c r="C7" s="94" t="s">
        <v>246</v>
      </c>
      <c r="D7" s="94" t="s">
        <v>252</v>
      </c>
      <c r="E7" s="96">
        <v>32536</v>
      </c>
      <c r="F7" s="97">
        <f t="shared" ca="1" si="0"/>
        <v>27</v>
      </c>
      <c r="G7" s="98"/>
      <c r="H7" s="99">
        <v>35680</v>
      </c>
      <c r="I7" s="100">
        <v>2</v>
      </c>
    </row>
    <row r="8" spans="1:9" ht="13.5" x14ac:dyDescent="0.25">
      <c r="A8" s="101" t="s">
        <v>1036</v>
      </c>
      <c r="B8" s="95"/>
      <c r="C8" s="101"/>
      <c r="D8" s="94"/>
      <c r="E8" s="96"/>
      <c r="F8" s="97"/>
      <c r="G8" s="98"/>
      <c r="H8" s="99"/>
      <c r="I8" s="100"/>
    </row>
    <row r="9" spans="1:9" ht="13.5" x14ac:dyDescent="0.25">
      <c r="A9" s="94" t="s">
        <v>272</v>
      </c>
      <c r="B9" s="95" t="s">
        <v>271</v>
      </c>
      <c r="C9" s="94" t="s">
        <v>272</v>
      </c>
      <c r="D9" s="94" t="s">
        <v>261</v>
      </c>
      <c r="E9" s="96">
        <v>32164</v>
      </c>
      <c r="F9" s="97">
        <f t="shared" ref="F9:F25" ca="1" si="1">DATEDIF(E9,TODAY(),"Y")</f>
        <v>28</v>
      </c>
      <c r="G9" s="98" t="s">
        <v>262</v>
      </c>
      <c r="H9" s="99">
        <v>30445</v>
      </c>
      <c r="I9" s="100">
        <v>1</v>
      </c>
    </row>
    <row r="10" spans="1:9" ht="13.5" x14ac:dyDescent="0.25">
      <c r="A10" s="94" t="s">
        <v>272</v>
      </c>
      <c r="B10" s="95" t="s">
        <v>280</v>
      </c>
      <c r="C10" s="94" t="s">
        <v>272</v>
      </c>
      <c r="D10" s="94" t="s">
        <v>252</v>
      </c>
      <c r="E10" s="96">
        <v>32172</v>
      </c>
      <c r="F10" s="97">
        <f t="shared" ca="1" si="1"/>
        <v>28</v>
      </c>
      <c r="G10" s="98" t="s">
        <v>257</v>
      </c>
      <c r="H10" s="99">
        <v>29070</v>
      </c>
      <c r="I10" s="100">
        <v>3</v>
      </c>
    </row>
    <row r="11" spans="1:9" ht="13.5" x14ac:dyDescent="0.25">
      <c r="A11" s="94" t="s">
        <v>272</v>
      </c>
      <c r="B11" s="95" t="s">
        <v>285</v>
      </c>
      <c r="C11" s="94" t="s">
        <v>272</v>
      </c>
      <c r="D11" s="94" t="s">
        <v>256</v>
      </c>
      <c r="E11" s="96">
        <v>32521</v>
      </c>
      <c r="F11" s="97">
        <f t="shared" ca="1" si="1"/>
        <v>27</v>
      </c>
      <c r="G11" s="98" t="s">
        <v>257</v>
      </c>
      <c r="H11" s="99">
        <v>79760</v>
      </c>
      <c r="I11" s="100">
        <v>5</v>
      </c>
    </row>
    <row r="12" spans="1:9" ht="13.5" x14ac:dyDescent="0.25">
      <c r="A12" s="94" t="s">
        <v>272</v>
      </c>
      <c r="B12" s="95" t="s">
        <v>271</v>
      </c>
      <c r="C12" s="94" t="s">
        <v>272</v>
      </c>
      <c r="D12" s="94" t="s">
        <v>247</v>
      </c>
      <c r="E12" s="96">
        <v>32766</v>
      </c>
      <c r="F12" s="97">
        <f t="shared" ca="1" si="1"/>
        <v>27</v>
      </c>
      <c r="G12" s="98"/>
      <c r="H12" s="99">
        <v>66580</v>
      </c>
      <c r="I12" s="100">
        <v>5</v>
      </c>
    </row>
    <row r="13" spans="1:9" ht="13.5" x14ac:dyDescent="0.25">
      <c r="A13" s="94" t="s">
        <v>272</v>
      </c>
      <c r="B13" s="95" t="s">
        <v>285</v>
      </c>
      <c r="C13" s="94" t="s">
        <v>272</v>
      </c>
      <c r="D13" s="94" t="s">
        <v>256</v>
      </c>
      <c r="E13" s="96">
        <v>34154</v>
      </c>
      <c r="F13" s="97">
        <f t="shared" ca="1" si="1"/>
        <v>23</v>
      </c>
      <c r="G13" s="98" t="s">
        <v>257</v>
      </c>
      <c r="H13" s="99">
        <v>60830</v>
      </c>
      <c r="I13" s="100">
        <v>1</v>
      </c>
    </row>
    <row r="14" spans="1:9" ht="13.5" x14ac:dyDescent="0.25">
      <c r="A14" s="94" t="s">
        <v>272</v>
      </c>
      <c r="B14" s="95" t="s">
        <v>280</v>
      </c>
      <c r="C14" s="94" t="s">
        <v>272</v>
      </c>
      <c r="D14" s="94" t="s">
        <v>256</v>
      </c>
      <c r="E14" s="96">
        <v>34432</v>
      </c>
      <c r="F14" s="97">
        <f t="shared" ca="1" si="1"/>
        <v>22</v>
      </c>
      <c r="G14" s="98" t="s">
        <v>283</v>
      </c>
      <c r="H14" s="99">
        <v>85300</v>
      </c>
      <c r="I14" s="100">
        <v>2</v>
      </c>
    </row>
    <row r="15" spans="1:9" ht="13.5" x14ac:dyDescent="0.25">
      <c r="A15" s="94" t="s">
        <v>272</v>
      </c>
      <c r="B15" s="95" t="s">
        <v>251</v>
      </c>
      <c r="C15" s="94" t="s">
        <v>272</v>
      </c>
      <c r="D15" s="94" t="s">
        <v>256</v>
      </c>
      <c r="E15" s="96">
        <v>34833</v>
      </c>
      <c r="F15" s="97">
        <f t="shared" ca="1" si="1"/>
        <v>21</v>
      </c>
      <c r="G15" s="98" t="s">
        <v>283</v>
      </c>
      <c r="H15" s="99">
        <v>72090</v>
      </c>
      <c r="I15" s="100">
        <v>5</v>
      </c>
    </row>
    <row r="16" spans="1:9" ht="13.5" x14ac:dyDescent="0.25">
      <c r="A16" s="94" t="s">
        <v>272</v>
      </c>
      <c r="B16" s="95" t="s">
        <v>251</v>
      </c>
      <c r="C16" s="94" t="s">
        <v>272</v>
      </c>
      <c r="D16" s="94" t="s">
        <v>261</v>
      </c>
      <c r="E16" s="96">
        <v>34907</v>
      </c>
      <c r="F16" s="97">
        <f t="shared" ca="1" si="1"/>
        <v>21</v>
      </c>
      <c r="G16" s="98" t="s">
        <v>257</v>
      </c>
      <c r="H16" s="99">
        <v>15240</v>
      </c>
      <c r="I16" s="100">
        <v>1</v>
      </c>
    </row>
    <row r="17" spans="1:9" ht="13.5" x14ac:dyDescent="0.25">
      <c r="A17" s="94" t="s">
        <v>272</v>
      </c>
      <c r="B17" s="95" t="s">
        <v>285</v>
      </c>
      <c r="C17" s="94" t="s">
        <v>272</v>
      </c>
      <c r="D17" s="94" t="s">
        <v>256</v>
      </c>
      <c r="E17" s="96">
        <v>34950</v>
      </c>
      <c r="F17" s="97">
        <f t="shared" ca="1" si="1"/>
        <v>21</v>
      </c>
      <c r="G17" s="98" t="s">
        <v>257</v>
      </c>
      <c r="H17" s="99">
        <v>75150</v>
      </c>
      <c r="I17" s="100">
        <v>1</v>
      </c>
    </row>
    <row r="18" spans="1:9" ht="13.5" x14ac:dyDescent="0.25">
      <c r="A18" s="94" t="s">
        <v>272</v>
      </c>
      <c r="B18" s="95" t="s">
        <v>266</v>
      </c>
      <c r="C18" s="94" t="s">
        <v>272</v>
      </c>
      <c r="D18" s="94" t="s">
        <v>256</v>
      </c>
      <c r="E18" s="96">
        <v>35454</v>
      </c>
      <c r="F18" s="97">
        <f t="shared" ca="1" si="1"/>
        <v>19</v>
      </c>
      <c r="G18" s="98" t="s">
        <v>276</v>
      </c>
      <c r="H18" s="99">
        <v>74840</v>
      </c>
      <c r="I18" s="100">
        <v>4</v>
      </c>
    </row>
    <row r="19" spans="1:9" ht="13.5" x14ac:dyDescent="0.25">
      <c r="A19" s="94" t="s">
        <v>272</v>
      </c>
      <c r="B19" s="95" t="s">
        <v>245</v>
      </c>
      <c r="C19" s="94" t="s">
        <v>272</v>
      </c>
      <c r="D19" s="94" t="s">
        <v>247</v>
      </c>
      <c r="E19" s="96">
        <v>35467</v>
      </c>
      <c r="F19" s="97">
        <f t="shared" ca="1" si="1"/>
        <v>19</v>
      </c>
      <c r="G19" s="98"/>
      <c r="H19" s="99">
        <v>76690</v>
      </c>
      <c r="I19" s="100">
        <v>3</v>
      </c>
    </row>
    <row r="20" spans="1:9" ht="13.5" x14ac:dyDescent="0.25">
      <c r="A20" s="94" t="s">
        <v>272</v>
      </c>
      <c r="B20" s="95" t="s">
        <v>251</v>
      </c>
      <c r="C20" s="94" t="s">
        <v>272</v>
      </c>
      <c r="D20" s="94" t="s">
        <v>256</v>
      </c>
      <c r="E20" s="96">
        <v>36094</v>
      </c>
      <c r="F20" s="97">
        <f t="shared" ca="1" si="1"/>
        <v>18</v>
      </c>
      <c r="G20" s="98" t="s">
        <v>257</v>
      </c>
      <c r="H20" s="99">
        <v>30780</v>
      </c>
      <c r="I20" s="100">
        <v>4</v>
      </c>
    </row>
    <row r="21" spans="1:9" ht="13.5" x14ac:dyDescent="0.25">
      <c r="A21" s="94" t="s">
        <v>272</v>
      </c>
      <c r="B21" s="95" t="s">
        <v>271</v>
      </c>
      <c r="C21" s="94" t="s">
        <v>272</v>
      </c>
      <c r="D21" s="94" t="s">
        <v>261</v>
      </c>
      <c r="E21" s="96">
        <v>36472</v>
      </c>
      <c r="F21" s="97">
        <f t="shared" ca="1" si="1"/>
        <v>17</v>
      </c>
      <c r="G21" s="98" t="s">
        <v>276</v>
      </c>
      <c r="H21" s="99">
        <v>17735</v>
      </c>
      <c r="I21" s="100">
        <v>3</v>
      </c>
    </row>
    <row r="22" spans="1:9" ht="13.5" x14ac:dyDescent="0.25">
      <c r="A22" s="94" t="s">
        <v>272</v>
      </c>
      <c r="B22" s="95" t="s">
        <v>271</v>
      </c>
      <c r="C22" s="94" t="s">
        <v>272</v>
      </c>
      <c r="D22" s="94" t="s">
        <v>256</v>
      </c>
      <c r="E22" s="96">
        <v>36832</v>
      </c>
      <c r="F22" s="97">
        <f t="shared" ca="1" si="1"/>
        <v>16</v>
      </c>
      <c r="G22" s="98" t="s">
        <v>257</v>
      </c>
      <c r="H22" s="99">
        <v>49350</v>
      </c>
      <c r="I22" s="100">
        <v>4</v>
      </c>
    </row>
    <row r="23" spans="1:9" ht="13.5" x14ac:dyDescent="0.25">
      <c r="A23" s="94" t="s">
        <v>272</v>
      </c>
      <c r="B23" s="95" t="s">
        <v>266</v>
      </c>
      <c r="C23" s="94" t="s">
        <v>272</v>
      </c>
      <c r="D23" s="94" t="s">
        <v>256</v>
      </c>
      <c r="E23" s="96">
        <v>37759</v>
      </c>
      <c r="F23" s="97">
        <f t="shared" ca="1" si="1"/>
        <v>13</v>
      </c>
      <c r="G23" s="98" t="s">
        <v>267</v>
      </c>
      <c r="H23" s="99">
        <v>37670</v>
      </c>
      <c r="I23" s="100">
        <v>3</v>
      </c>
    </row>
    <row r="24" spans="1:9" ht="13.5" x14ac:dyDescent="0.25">
      <c r="A24" s="94" t="s">
        <v>272</v>
      </c>
      <c r="B24" s="95" t="s">
        <v>245</v>
      </c>
      <c r="C24" s="94" t="s">
        <v>272</v>
      </c>
      <c r="D24" s="94" t="s">
        <v>256</v>
      </c>
      <c r="E24" s="96">
        <v>38394</v>
      </c>
      <c r="F24" s="97">
        <f t="shared" ca="1" si="1"/>
        <v>11</v>
      </c>
      <c r="G24" s="98" t="s">
        <v>276</v>
      </c>
      <c r="H24" s="99">
        <v>58290</v>
      </c>
      <c r="I24" s="100">
        <v>5</v>
      </c>
    </row>
    <row r="25" spans="1:9" ht="13.5" x14ac:dyDescent="0.25">
      <c r="A25" s="94" t="s">
        <v>272</v>
      </c>
      <c r="B25" s="95" t="s">
        <v>245</v>
      </c>
      <c r="C25" s="94" t="s">
        <v>272</v>
      </c>
      <c r="D25" s="94" t="s">
        <v>252</v>
      </c>
      <c r="E25" s="96">
        <v>38816</v>
      </c>
      <c r="F25" s="97">
        <f t="shared" ca="1" si="1"/>
        <v>10</v>
      </c>
      <c r="G25" s="98"/>
      <c r="H25" s="99">
        <v>10636</v>
      </c>
      <c r="I25" s="100">
        <v>4</v>
      </c>
    </row>
    <row r="26" spans="1:9" ht="13.5" x14ac:dyDescent="0.25">
      <c r="A26" s="101" t="s">
        <v>1037</v>
      </c>
      <c r="B26" s="95"/>
      <c r="C26" s="101"/>
      <c r="D26" s="94"/>
      <c r="E26" s="96"/>
      <c r="F26" s="97"/>
      <c r="G26" s="98"/>
      <c r="H26" s="99"/>
      <c r="I26" s="100"/>
    </row>
    <row r="27" spans="1:9" ht="13.5" x14ac:dyDescent="0.25">
      <c r="A27" s="94" t="s">
        <v>296</v>
      </c>
      <c r="B27" s="95" t="s">
        <v>245</v>
      </c>
      <c r="C27" s="94" t="s">
        <v>296</v>
      </c>
      <c r="D27" s="94" t="s">
        <v>256</v>
      </c>
      <c r="E27" s="96">
        <v>32241</v>
      </c>
      <c r="F27" s="97">
        <f t="shared" ref="F27:F36" ca="1" si="2">DATEDIF(E27,TODAY(),"Y")</f>
        <v>28</v>
      </c>
      <c r="G27" s="98" t="s">
        <v>262</v>
      </c>
      <c r="H27" s="99">
        <v>41350</v>
      </c>
      <c r="I27" s="100">
        <v>2</v>
      </c>
    </row>
    <row r="28" spans="1:9" ht="13.5" x14ac:dyDescent="0.25">
      <c r="A28" s="94" t="s">
        <v>296</v>
      </c>
      <c r="B28" s="95" t="s">
        <v>285</v>
      </c>
      <c r="C28" s="94" t="s">
        <v>296</v>
      </c>
      <c r="D28" s="94" t="s">
        <v>256</v>
      </c>
      <c r="E28" s="96">
        <v>32991</v>
      </c>
      <c r="F28" s="97">
        <f t="shared" ca="1" si="2"/>
        <v>26</v>
      </c>
      <c r="G28" s="98" t="s">
        <v>257</v>
      </c>
      <c r="H28" s="99">
        <v>73440</v>
      </c>
      <c r="I28" s="100">
        <v>1</v>
      </c>
    </row>
    <row r="29" spans="1:9" ht="13.5" x14ac:dyDescent="0.25">
      <c r="A29" s="94" t="s">
        <v>296</v>
      </c>
      <c r="B29" s="95" t="s">
        <v>271</v>
      </c>
      <c r="C29" s="94" t="s">
        <v>296</v>
      </c>
      <c r="D29" s="94" t="s">
        <v>256</v>
      </c>
      <c r="E29" s="96">
        <v>34149</v>
      </c>
      <c r="F29" s="97">
        <f t="shared" ca="1" si="2"/>
        <v>23</v>
      </c>
      <c r="G29" s="98" t="s">
        <v>283</v>
      </c>
      <c r="H29" s="99">
        <v>49360</v>
      </c>
      <c r="I29" s="100">
        <v>2</v>
      </c>
    </row>
    <row r="30" spans="1:9" ht="13.5" x14ac:dyDescent="0.25">
      <c r="A30" s="94" t="s">
        <v>296</v>
      </c>
      <c r="B30" s="95" t="s">
        <v>245</v>
      </c>
      <c r="C30" s="94" t="s">
        <v>296</v>
      </c>
      <c r="D30" s="94" t="s">
        <v>261</v>
      </c>
      <c r="E30" s="96">
        <v>34254</v>
      </c>
      <c r="F30" s="97">
        <f t="shared" ca="1" si="2"/>
        <v>23</v>
      </c>
      <c r="G30" s="98" t="s">
        <v>257</v>
      </c>
      <c r="H30" s="99">
        <v>11025</v>
      </c>
      <c r="I30" s="100">
        <v>1</v>
      </c>
    </row>
    <row r="31" spans="1:9" ht="13.5" x14ac:dyDescent="0.25">
      <c r="A31" s="94" t="s">
        <v>296</v>
      </c>
      <c r="B31" s="95" t="s">
        <v>271</v>
      </c>
      <c r="C31" s="94" t="s">
        <v>296</v>
      </c>
      <c r="D31" s="94" t="s">
        <v>252</v>
      </c>
      <c r="E31" s="96">
        <v>34364</v>
      </c>
      <c r="F31" s="97">
        <f t="shared" ca="1" si="2"/>
        <v>22</v>
      </c>
      <c r="G31" s="98"/>
      <c r="H31" s="99">
        <v>20028</v>
      </c>
      <c r="I31" s="100">
        <v>4</v>
      </c>
    </row>
    <row r="32" spans="1:9" ht="13.5" x14ac:dyDescent="0.25">
      <c r="A32" s="94" t="s">
        <v>296</v>
      </c>
      <c r="B32" s="95" t="s">
        <v>285</v>
      </c>
      <c r="C32" s="94" t="s">
        <v>296</v>
      </c>
      <c r="D32" s="94" t="s">
        <v>256</v>
      </c>
      <c r="E32" s="96">
        <v>34904</v>
      </c>
      <c r="F32" s="97">
        <f t="shared" ca="1" si="2"/>
        <v>21</v>
      </c>
      <c r="G32" s="98" t="s">
        <v>276</v>
      </c>
      <c r="H32" s="99">
        <v>47850</v>
      </c>
      <c r="I32" s="100">
        <v>1</v>
      </c>
    </row>
    <row r="33" spans="1:9" ht="13.5" x14ac:dyDescent="0.25">
      <c r="A33" s="94" t="s">
        <v>296</v>
      </c>
      <c r="B33" s="95" t="s">
        <v>245</v>
      </c>
      <c r="C33" s="94" t="s">
        <v>296</v>
      </c>
      <c r="D33" s="94" t="s">
        <v>256</v>
      </c>
      <c r="E33" s="96">
        <v>35309</v>
      </c>
      <c r="F33" s="97">
        <f t="shared" ca="1" si="2"/>
        <v>20</v>
      </c>
      <c r="G33" s="98" t="s">
        <v>267</v>
      </c>
      <c r="H33" s="99">
        <v>56440</v>
      </c>
      <c r="I33" s="100">
        <v>1</v>
      </c>
    </row>
    <row r="34" spans="1:9" ht="13.5" x14ac:dyDescent="0.25">
      <c r="A34" s="94" t="s">
        <v>296</v>
      </c>
      <c r="B34" s="95" t="s">
        <v>245</v>
      </c>
      <c r="C34" s="94" t="s">
        <v>296</v>
      </c>
      <c r="D34" s="94" t="s">
        <v>256</v>
      </c>
      <c r="E34" s="96">
        <v>35583</v>
      </c>
      <c r="F34" s="97">
        <f t="shared" ca="1" si="2"/>
        <v>19</v>
      </c>
      <c r="G34" s="98" t="s">
        <v>283</v>
      </c>
      <c r="H34" s="99">
        <v>33640</v>
      </c>
      <c r="I34" s="100">
        <v>3</v>
      </c>
    </row>
    <row r="35" spans="1:9" ht="13.5" x14ac:dyDescent="0.25">
      <c r="A35" s="94" t="s">
        <v>296</v>
      </c>
      <c r="B35" s="95" t="s">
        <v>251</v>
      </c>
      <c r="C35" s="94" t="s">
        <v>296</v>
      </c>
      <c r="D35" s="94" t="s">
        <v>256</v>
      </c>
      <c r="E35" s="96">
        <v>36741</v>
      </c>
      <c r="F35" s="97">
        <f t="shared" ca="1" si="2"/>
        <v>16</v>
      </c>
      <c r="G35" s="98" t="s">
        <v>257</v>
      </c>
      <c r="H35" s="99">
        <v>30350</v>
      </c>
      <c r="I35" s="100">
        <v>1</v>
      </c>
    </row>
    <row r="36" spans="1:9" ht="13.5" x14ac:dyDescent="0.25">
      <c r="A36" s="94" t="s">
        <v>296</v>
      </c>
      <c r="B36" s="95" t="s">
        <v>245</v>
      </c>
      <c r="C36" s="94" t="s">
        <v>296</v>
      </c>
      <c r="D36" s="94" t="s">
        <v>256</v>
      </c>
      <c r="E36" s="96">
        <v>38796</v>
      </c>
      <c r="F36" s="97">
        <f t="shared" ca="1" si="2"/>
        <v>10</v>
      </c>
      <c r="G36" s="98" t="s">
        <v>262</v>
      </c>
      <c r="H36" s="99">
        <v>51180</v>
      </c>
      <c r="I36" s="100">
        <v>3</v>
      </c>
    </row>
    <row r="37" spans="1:9" ht="13.5" x14ac:dyDescent="0.25">
      <c r="A37" s="101" t="s">
        <v>1038</v>
      </c>
      <c r="B37" s="95"/>
      <c r="C37" s="101"/>
      <c r="D37" s="94"/>
      <c r="E37" s="96"/>
      <c r="F37" s="97"/>
      <c r="G37" s="98"/>
      <c r="H37" s="99"/>
      <c r="I37" s="100"/>
    </row>
    <row r="38" spans="1:9" ht="13.5" x14ac:dyDescent="0.25">
      <c r="A38" s="94" t="s">
        <v>307</v>
      </c>
      <c r="B38" s="95" t="s">
        <v>285</v>
      </c>
      <c r="C38" s="94" t="s">
        <v>307</v>
      </c>
      <c r="D38" s="94" t="s">
        <v>256</v>
      </c>
      <c r="E38" s="96">
        <v>32403</v>
      </c>
      <c r="F38" s="97">
        <f ca="1">DATEDIF(E38,TODAY(),"Y")</f>
        <v>28</v>
      </c>
      <c r="G38" s="98" t="s">
        <v>257</v>
      </c>
      <c r="H38" s="99">
        <v>46220</v>
      </c>
      <c r="I38" s="100">
        <v>3</v>
      </c>
    </row>
    <row r="39" spans="1:9" ht="13.5" x14ac:dyDescent="0.25">
      <c r="A39" s="94" t="s">
        <v>307</v>
      </c>
      <c r="B39" s="95" t="s">
        <v>280</v>
      </c>
      <c r="C39" s="94" t="s">
        <v>307</v>
      </c>
      <c r="D39" s="94" t="s">
        <v>247</v>
      </c>
      <c r="E39" s="96">
        <v>34085</v>
      </c>
      <c r="F39" s="97">
        <f ca="1">DATEDIF(E39,TODAY(),"Y")</f>
        <v>23</v>
      </c>
      <c r="G39" s="98"/>
      <c r="H39" s="99">
        <v>58130</v>
      </c>
      <c r="I39" s="100">
        <v>2</v>
      </c>
    </row>
    <row r="40" spans="1:9" ht="13.5" x14ac:dyDescent="0.25">
      <c r="A40" s="94" t="s">
        <v>307</v>
      </c>
      <c r="B40" s="95" t="s">
        <v>285</v>
      </c>
      <c r="C40" s="94" t="s">
        <v>307</v>
      </c>
      <c r="D40" s="94" t="s">
        <v>261</v>
      </c>
      <c r="E40" s="96">
        <v>38107</v>
      </c>
      <c r="F40" s="97">
        <f ca="1">DATEDIF(E40,TODAY(),"Y")</f>
        <v>12</v>
      </c>
      <c r="G40" s="98" t="s">
        <v>267</v>
      </c>
      <c r="H40" s="99">
        <v>46095</v>
      </c>
      <c r="I40" s="100">
        <v>3</v>
      </c>
    </row>
    <row r="41" spans="1:9" ht="13.5" x14ac:dyDescent="0.25">
      <c r="A41" s="94" t="s">
        <v>307</v>
      </c>
      <c r="B41" s="95" t="s">
        <v>271</v>
      </c>
      <c r="C41" s="94" t="s">
        <v>307</v>
      </c>
      <c r="D41" s="94" t="s">
        <v>261</v>
      </c>
      <c r="E41" s="96">
        <v>38842</v>
      </c>
      <c r="F41" s="97">
        <f ca="1">DATEDIF(E41,TODAY(),"Y")</f>
        <v>10</v>
      </c>
      <c r="G41" s="98" t="s">
        <v>283</v>
      </c>
      <c r="H41" s="99">
        <v>28680</v>
      </c>
      <c r="I41" s="100">
        <v>1</v>
      </c>
    </row>
    <row r="42" spans="1:9" ht="13.5" x14ac:dyDescent="0.25">
      <c r="A42" s="101" t="s">
        <v>1039</v>
      </c>
      <c r="B42" s="95"/>
      <c r="C42" s="101"/>
      <c r="D42" s="94"/>
      <c r="E42" s="96"/>
      <c r="F42" s="97"/>
      <c r="G42" s="98"/>
      <c r="H42" s="99"/>
      <c r="I42" s="100"/>
    </row>
    <row r="43" spans="1:9" ht="13.5" x14ac:dyDescent="0.25">
      <c r="A43" s="94" t="s">
        <v>312</v>
      </c>
      <c r="B43" s="95" t="s">
        <v>271</v>
      </c>
      <c r="C43" s="94" t="s">
        <v>312</v>
      </c>
      <c r="D43" s="94" t="s">
        <v>247</v>
      </c>
      <c r="E43" s="96">
        <v>31918</v>
      </c>
      <c r="F43" s="97">
        <f t="shared" ref="F43:F102" ca="1" si="3">DATEDIF(E43,TODAY(),"Y")</f>
        <v>29</v>
      </c>
      <c r="G43" s="98"/>
      <c r="H43" s="99">
        <v>42940</v>
      </c>
      <c r="I43" s="100">
        <v>1</v>
      </c>
    </row>
    <row r="44" spans="1:9" ht="13.5" x14ac:dyDescent="0.25">
      <c r="A44" s="94" t="s">
        <v>312</v>
      </c>
      <c r="B44" s="95" t="s">
        <v>245</v>
      </c>
      <c r="C44" s="94" t="s">
        <v>312</v>
      </c>
      <c r="D44" s="94" t="s">
        <v>256</v>
      </c>
      <c r="E44" s="96">
        <v>32038</v>
      </c>
      <c r="F44" s="97">
        <f t="shared" ca="1" si="3"/>
        <v>29</v>
      </c>
      <c r="G44" s="98" t="s">
        <v>276</v>
      </c>
      <c r="H44" s="99">
        <v>49810</v>
      </c>
      <c r="I44" s="100">
        <v>2</v>
      </c>
    </row>
    <row r="45" spans="1:9" ht="13.5" x14ac:dyDescent="0.25">
      <c r="A45" s="94" t="s">
        <v>312</v>
      </c>
      <c r="B45" s="95" t="s">
        <v>285</v>
      </c>
      <c r="C45" s="94" t="s">
        <v>312</v>
      </c>
      <c r="D45" s="94" t="s">
        <v>261</v>
      </c>
      <c r="E45" s="96">
        <v>32162</v>
      </c>
      <c r="F45" s="97">
        <f t="shared" ca="1" si="3"/>
        <v>28</v>
      </c>
      <c r="G45" s="98" t="s">
        <v>262</v>
      </c>
      <c r="H45" s="99">
        <v>13800</v>
      </c>
      <c r="I45" s="100">
        <v>3</v>
      </c>
    </row>
    <row r="46" spans="1:9" ht="13.5" x14ac:dyDescent="0.25">
      <c r="A46" s="94" t="s">
        <v>312</v>
      </c>
      <c r="B46" s="95" t="s">
        <v>271</v>
      </c>
      <c r="C46" s="94" t="s">
        <v>312</v>
      </c>
      <c r="D46" s="94" t="s">
        <v>256</v>
      </c>
      <c r="E46" s="96">
        <v>32217</v>
      </c>
      <c r="F46" s="97">
        <f t="shared" ca="1" si="3"/>
        <v>28</v>
      </c>
      <c r="G46" s="98" t="s">
        <v>283</v>
      </c>
      <c r="H46" s="99">
        <v>85920</v>
      </c>
      <c r="I46" s="100">
        <v>4</v>
      </c>
    </row>
    <row r="47" spans="1:9" ht="13.5" x14ac:dyDescent="0.25">
      <c r="A47" s="94" t="s">
        <v>312</v>
      </c>
      <c r="B47" s="95" t="s">
        <v>271</v>
      </c>
      <c r="C47" s="94" t="s">
        <v>312</v>
      </c>
      <c r="D47" s="94" t="s">
        <v>256</v>
      </c>
      <c r="E47" s="96">
        <v>32265</v>
      </c>
      <c r="F47" s="97">
        <f t="shared" ca="1" si="3"/>
        <v>28</v>
      </c>
      <c r="G47" s="98" t="s">
        <v>262</v>
      </c>
      <c r="H47" s="99">
        <v>61400</v>
      </c>
      <c r="I47" s="100">
        <v>5</v>
      </c>
    </row>
    <row r="48" spans="1:9" ht="13.5" x14ac:dyDescent="0.25">
      <c r="A48" s="94" t="s">
        <v>312</v>
      </c>
      <c r="B48" s="95" t="s">
        <v>285</v>
      </c>
      <c r="C48" s="94" t="s">
        <v>312</v>
      </c>
      <c r="D48" s="94" t="s">
        <v>252</v>
      </c>
      <c r="E48" s="96">
        <v>32310</v>
      </c>
      <c r="F48" s="97">
        <f t="shared" ca="1" si="3"/>
        <v>28</v>
      </c>
      <c r="G48" s="98"/>
      <c r="H48" s="99">
        <v>14568</v>
      </c>
      <c r="I48" s="100">
        <v>3</v>
      </c>
    </row>
    <row r="49" spans="1:9" ht="13.5" x14ac:dyDescent="0.25">
      <c r="A49" s="94" t="s">
        <v>312</v>
      </c>
      <c r="B49" s="95" t="s">
        <v>251</v>
      </c>
      <c r="C49" s="94" t="s">
        <v>312</v>
      </c>
      <c r="D49" s="94" t="s">
        <v>247</v>
      </c>
      <c r="E49" s="96">
        <v>32368</v>
      </c>
      <c r="F49" s="97">
        <f t="shared" ca="1" si="3"/>
        <v>28</v>
      </c>
      <c r="G49" s="98"/>
      <c r="H49" s="99">
        <v>64460</v>
      </c>
      <c r="I49" s="100">
        <v>1</v>
      </c>
    </row>
    <row r="50" spans="1:9" ht="13.5" x14ac:dyDescent="0.25">
      <c r="A50" s="94" t="s">
        <v>312</v>
      </c>
      <c r="B50" s="95" t="s">
        <v>285</v>
      </c>
      <c r="C50" s="94" t="s">
        <v>312</v>
      </c>
      <c r="D50" s="94" t="s">
        <v>256</v>
      </c>
      <c r="E50" s="96">
        <v>32436</v>
      </c>
      <c r="F50" s="97">
        <f t="shared" ca="1" si="3"/>
        <v>28</v>
      </c>
      <c r="G50" s="98" t="s">
        <v>262</v>
      </c>
      <c r="H50" s="99">
        <v>31830</v>
      </c>
      <c r="I50" s="100">
        <v>3</v>
      </c>
    </row>
    <row r="51" spans="1:9" ht="13.5" x14ac:dyDescent="0.25">
      <c r="A51" s="94" t="s">
        <v>312</v>
      </c>
      <c r="B51" s="95" t="s">
        <v>245</v>
      </c>
      <c r="C51" s="94" t="s">
        <v>312</v>
      </c>
      <c r="D51" s="94" t="s">
        <v>256</v>
      </c>
      <c r="E51" s="96">
        <v>32476</v>
      </c>
      <c r="F51" s="97">
        <f t="shared" ca="1" si="3"/>
        <v>27</v>
      </c>
      <c r="G51" s="98" t="s">
        <v>257</v>
      </c>
      <c r="H51" s="99">
        <v>71150</v>
      </c>
      <c r="I51" s="100">
        <v>2</v>
      </c>
    </row>
    <row r="52" spans="1:9" ht="13.5" x14ac:dyDescent="0.25">
      <c r="A52" s="94" t="s">
        <v>312</v>
      </c>
      <c r="B52" s="95" t="s">
        <v>285</v>
      </c>
      <c r="C52" s="94" t="s">
        <v>312</v>
      </c>
      <c r="D52" s="94" t="s">
        <v>256</v>
      </c>
      <c r="E52" s="96">
        <v>32585</v>
      </c>
      <c r="F52" s="97">
        <f t="shared" ca="1" si="3"/>
        <v>27</v>
      </c>
      <c r="G52" s="98" t="s">
        <v>283</v>
      </c>
      <c r="H52" s="99">
        <v>71670</v>
      </c>
      <c r="I52" s="100">
        <v>4</v>
      </c>
    </row>
    <row r="53" spans="1:9" ht="13.5" x14ac:dyDescent="0.25">
      <c r="A53" s="94" t="s">
        <v>312</v>
      </c>
      <c r="B53" s="95" t="s">
        <v>245</v>
      </c>
      <c r="C53" s="94" t="s">
        <v>312</v>
      </c>
      <c r="D53" s="94" t="s">
        <v>247</v>
      </c>
      <c r="E53" s="96">
        <v>32671</v>
      </c>
      <c r="F53" s="97">
        <f t="shared" ca="1" si="3"/>
        <v>27</v>
      </c>
      <c r="G53" s="98"/>
      <c r="H53" s="99">
        <v>83020</v>
      </c>
      <c r="I53" s="100">
        <v>4</v>
      </c>
    </row>
    <row r="54" spans="1:9" ht="13.5" x14ac:dyDescent="0.25">
      <c r="A54" s="94" t="s">
        <v>312</v>
      </c>
      <c r="B54" s="95" t="s">
        <v>271</v>
      </c>
      <c r="C54" s="94" t="s">
        <v>312</v>
      </c>
      <c r="D54" s="94" t="s">
        <v>261</v>
      </c>
      <c r="E54" s="96">
        <v>32856</v>
      </c>
      <c r="F54" s="97">
        <f t="shared" ca="1" si="3"/>
        <v>26</v>
      </c>
      <c r="G54" s="98" t="s">
        <v>257</v>
      </c>
      <c r="H54" s="99">
        <v>26890</v>
      </c>
      <c r="I54" s="100">
        <v>3</v>
      </c>
    </row>
    <row r="55" spans="1:9" ht="13.5" x14ac:dyDescent="0.25">
      <c r="A55" s="94" t="s">
        <v>312</v>
      </c>
      <c r="B55" s="95" t="s">
        <v>285</v>
      </c>
      <c r="C55" s="94" t="s">
        <v>312</v>
      </c>
      <c r="D55" s="94" t="s">
        <v>256</v>
      </c>
      <c r="E55" s="96">
        <v>33164</v>
      </c>
      <c r="F55" s="97">
        <f t="shared" ca="1" si="3"/>
        <v>26</v>
      </c>
      <c r="G55" s="98" t="s">
        <v>262</v>
      </c>
      <c r="H55" s="99">
        <v>74670</v>
      </c>
      <c r="I55" s="100">
        <v>5</v>
      </c>
    </row>
    <row r="56" spans="1:9" ht="13.5" x14ac:dyDescent="0.25">
      <c r="A56" s="94" t="s">
        <v>312</v>
      </c>
      <c r="B56" s="95" t="s">
        <v>285</v>
      </c>
      <c r="C56" s="94" t="s">
        <v>312</v>
      </c>
      <c r="D56" s="94" t="s">
        <v>261</v>
      </c>
      <c r="E56" s="96">
        <v>33238</v>
      </c>
      <c r="F56" s="97">
        <f t="shared" ca="1" si="3"/>
        <v>25</v>
      </c>
      <c r="G56" s="98" t="s">
        <v>276</v>
      </c>
      <c r="H56" s="99">
        <v>38920</v>
      </c>
      <c r="I56" s="100">
        <v>4</v>
      </c>
    </row>
    <row r="57" spans="1:9" ht="13.5" x14ac:dyDescent="0.25">
      <c r="A57" s="94" t="s">
        <v>312</v>
      </c>
      <c r="B57" s="95" t="s">
        <v>285</v>
      </c>
      <c r="C57" s="94" t="s">
        <v>312</v>
      </c>
      <c r="D57" s="94" t="s">
        <v>247</v>
      </c>
      <c r="E57" s="96">
        <v>33341</v>
      </c>
      <c r="F57" s="97">
        <f t="shared" ca="1" si="3"/>
        <v>25</v>
      </c>
      <c r="G57" s="98"/>
      <c r="H57" s="99">
        <v>46670</v>
      </c>
      <c r="I57" s="100">
        <v>3</v>
      </c>
    </row>
    <row r="58" spans="1:9" ht="13.5" x14ac:dyDescent="0.25">
      <c r="A58" s="94" t="s">
        <v>312</v>
      </c>
      <c r="B58" s="95" t="s">
        <v>271</v>
      </c>
      <c r="C58" s="94" t="s">
        <v>312</v>
      </c>
      <c r="D58" s="94" t="s">
        <v>256</v>
      </c>
      <c r="E58" s="96">
        <v>33522</v>
      </c>
      <c r="F58" s="97">
        <f t="shared" ca="1" si="3"/>
        <v>25</v>
      </c>
      <c r="G58" s="98" t="s">
        <v>257</v>
      </c>
      <c r="H58" s="99">
        <v>31910</v>
      </c>
      <c r="I58" s="100">
        <v>5</v>
      </c>
    </row>
    <row r="59" spans="1:9" ht="13.5" x14ac:dyDescent="0.25">
      <c r="A59" s="94" t="s">
        <v>312</v>
      </c>
      <c r="B59" s="95" t="s">
        <v>266</v>
      </c>
      <c r="C59" s="94" t="s">
        <v>312</v>
      </c>
      <c r="D59" s="94" t="s">
        <v>256</v>
      </c>
      <c r="E59" s="96">
        <v>33686</v>
      </c>
      <c r="F59" s="97">
        <f t="shared" ca="1" si="3"/>
        <v>24</v>
      </c>
      <c r="G59" s="98" t="s">
        <v>257</v>
      </c>
      <c r="H59" s="99">
        <v>67890</v>
      </c>
      <c r="I59" s="100">
        <v>5</v>
      </c>
    </row>
    <row r="60" spans="1:9" ht="13.5" x14ac:dyDescent="0.25">
      <c r="A60" s="94" t="s">
        <v>312</v>
      </c>
      <c r="B60" s="95" t="s">
        <v>271</v>
      </c>
      <c r="C60" s="94" t="s">
        <v>312</v>
      </c>
      <c r="D60" s="94" t="s">
        <v>256</v>
      </c>
      <c r="E60" s="96">
        <v>33776</v>
      </c>
      <c r="F60" s="97">
        <f t="shared" ca="1" si="3"/>
        <v>24</v>
      </c>
      <c r="G60" s="98" t="s">
        <v>267</v>
      </c>
      <c r="H60" s="99">
        <v>77350</v>
      </c>
      <c r="I60" s="100">
        <v>5</v>
      </c>
    </row>
    <row r="61" spans="1:9" ht="13.5" x14ac:dyDescent="0.25">
      <c r="A61" s="94" t="s">
        <v>312</v>
      </c>
      <c r="B61" s="95" t="s">
        <v>280</v>
      </c>
      <c r="C61" s="94" t="s">
        <v>312</v>
      </c>
      <c r="D61" s="94" t="s">
        <v>247</v>
      </c>
      <c r="E61" s="96">
        <v>33809</v>
      </c>
      <c r="F61" s="97">
        <f t="shared" ca="1" si="3"/>
        <v>24</v>
      </c>
      <c r="G61" s="98"/>
      <c r="H61" s="99">
        <v>64390</v>
      </c>
      <c r="I61" s="100">
        <v>2</v>
      </c>
    </row>
    <row r="62" spans="1:9" ht="13.5" x14ac:dyDescent="0.25">
      <c r="A62" s="94" t="s">
        <v>312</v>
      </c>
      <c r="B62" s="95" t="s">
        <v>245</v>
      </c>
      <c r="C62" s="94" t="s">
        <v>312</v>
      </c>
      <c r="D62" s="94" t="s">
        <v>247</v>
      </c>
      <c r="E62" s="96">
        <v>33850</v>
      </c>
      <c r="F62" s="97">
        <f t="shared" ca="1" si="3"/>
        <v>24</v>
      </c>
      <c r="G62" s="98"/>
      <c r="H62" s="99">
        <v>50550</v>
      </c>
      <c r="I62" s="100">
        <v>2</v>
      </c>
    </row>
    <row r="63" spans="1:9" ht="13.5" x14ac:dyDescent="0.25">
      <c r="A63" s="94" t="s">
        <v>312</v>
      </c>
      <c r="B63" s="95" t="s">
        <v>251</v>
      </c>
      <c r="C63" s="94" t="s">
        <v>312</v>
      </c>
      <c r="D63" s="94" t="s">
        <v>256</v>
      </c>
      <c r="E63" s="96">
        <v>33887</v>
      </c>
      <c r="F63" s="97">
        <f t="shared" ca="1" si="3"/>
        <v>24</v>
      </c>
      <c r="G63" s="98" t="s">
        <v>276</v>
      </c>
      <c r="H63" s="99">
        <v>82120</v>
      </c>
      <c r="I63" s="100">
        <v>5</v>
      </c>
    </row>
    <row r="64" spans="1:9" ht="13.5" x14ac:dyDescent="0.25">
      <c r="A64" s="94" t="s">
        <v>312</v>
      </c>
      <c r="B64" s="95" t="s">
        <v>285</v>
      </c>
      <c r="C64" s="94" t="s">
        <v>312</v>
      </c>
      <c r="D64" s="94" t="s">
        <v>256</v>
      </c>
      <c r="E64" s="96">
        <v>33897</v>
      </c>
      <c r="F64" s="97">
        <f t="shared" ca="1" si="3"/>
        <v>24</v>
      </c>
      <c r="G64" s="98" t="s">
        <v>267</v>
      </c>
      <c r="H64" s="99">
        <v>77580</v>
      </c>
      <c r="I64" s="100">
        <v>3</v>
      </c>
    </row>
    <row r="65" spans="1:9" ht="13.5" x14ac:dyDescent="0.25">
      <c r="A65" s="94" t="s">
        <v>312</v>
      </c>
      <c r="B65" s="95" t="s">
        <v>285</v>
      </c>
      <c r="C65" s="94" t="s">
        <v>312</v>
      </c>
      <c r="D65" s="94" t="s">
        <v>247</v>
      </c>
      <c r="E65" s="96">
        <v>33945</v>
      </c>
      <c r="F65" s="97">
        <f t="shared" ca="1" si="3"/>
        <v>23</v>
      </c>
      <c r="G65" s="98"/>
      <c r="H65" s="99">
        <v>89310</v>
      </c>
      <c r="I65" s="100">
        <v>5</v>
      </c>
    </row>
    <row r="66" spans="1:9" ht="13.5" x14ac:dyDescent="0.25">
      <c r="A66" s="94" t="s">
        <v>312</v>
      </c>
      <c r="B66" s="95" t="s">
        <v>271</v>
      </c>
      <c r="C66" s="94" t="s">
        <v>312</v>
      </c>
      <c r="D66" s="94" t="s">
        <v>247</v>
      </c>
      <c r="E66" s="96">
        <v>34195</v>
      </c>
      <c r="F66" s="97">
        <f t="shared" ca="1" si="3"/>
        <v>23</v>
      </c>
      <c r="G66" s="98"/>
      <c r="H66" s="99">
        <v>74740</v>
      </c>
      <c r="I66" s="100">
        <v>5</v>
      </c>
    </row>
    <row r="67" spans="1:9" ht="13.5" x14ac:dyDescent="0.25">
      <c r="A67" s="94" t="s">
        <v>312</v>
      </c>
      <c r="B67" s="95" t="s">
        <v>245</v>
      </c>
      <c r="C67" s="94" t="s">
        <v>312</v>
      </c>
      <c r="D67" s="94" t="s">
        <v>261</v>
      </c>
      <c r="E67" s="96">
        <v>34207</v>
      </c>
      <c r="F67" s="97">
        <f t="shared" ca="1" si="3"/>
        <v>23</v>
      </c>
      <c r="G67" s="98" t="s">
        <v>267</v>
      </c>
      <c r="H67" s="99">
        <v>48415</v>
      </c>
      <c r="I67" s="100">
        <v>4</v>
      </c>
    </row>
    <row r="68" spans="1:9" ht="13.5" x14ac:dyDescent="0.25">
      <c r="A68" s="94" t="s">
        <v>312</v>
      </c>
      <c r="B68" s="95" t="s">
        <v>285</v>
      </c>
      <c r="C68" s="94" t="s">
        <v>312</v>
      </c>
      <c r="D68" s="94" t="s">
        <v>247</v>
      </c>
      <c r="E68" s="96">
        <v>34259</v>
      </c>
      <c r="F68" s="97">
        <f t="shared" ca="1" si="3"/>
        <v>23</v>
      </c>
      <c r="G68" s="98"/>
      <c r="H68" s="99">
        <v>84200</v>
      </c>
      <c r="I68" s="100">
        <v>2</v>
      </c>
    </row>
    <row r="69" spans="1:9" ht="13.5" x14ac:dyDescent="0.25">
      <c r="A69" s="94" t="s">
        <v>312</v>
      </c>
      <c r="B69" s="95" t="s">
        <v>245</v>
      </c>
      <c r="C69" s="94" t="s">
        <v>312</v>
      </c>
      <c r="D69" s="94" t="s">
        <v>256</v>
      </c>
      <c r="E69" s="96">
        <v>34357</v>
      </c>
      <c r="F69" s="97">
        <f t="shared" ca="1" si="3"/>
        <v>22</v>
      </c>
      <c r="G69" s="98" t="s">
        <v>257</v>
      </c>
      <c r="H69" s="99">
        <v>40920</v>
      </c>
      <c r="I69" s="100">
        <v>4</v>
      </c>
    </row>
    <row r="70" spans="1:9" ht="13.5" x14ac:dyDescent="0.25">
      <c r="A70" s="94" t="s">
        <v>312</v>
      </c>
      <c r="B70" s="95" t="s">
        <v>285</v>
      </c>
      <c r="C70" s="94" t="s">
        <v>312</v>
      </c>
      <c r="D70" s="94" t="s">
        <v>256</v>
      </c>
      <c r="E70" s="96">
        <v>34519</v>
      </c>
      <c r="F70" s="97">
        <f t="shared" ca="1" si="3"/>
        <v>22</v>
      </c>
      <c r="G70" s="98" t="s">
        <v>257</v>
      </c>
      <c r="H70" s="99">
        <v>61030</v>
      </c>
      <c r="I70" s="100">
        <v>3</v>
      </c>
    </row>
    <row r="71" spans="1:9" ht="13.5" x14ac:dyDescent="0.25">
      <c r="A71" s="94" t="s">
        <v>312</v>
      </c>
      <c r="B71" s="95" t="s">
        <v>271</v>
      </c>
      <c r="C71" s="94" t="s">
        <v>312</v>
      </c>
      <c r="D71" s="94" t="s">
        <v>261</v>
      </c>
      <c r="E71" s="96">
        <v>34532</v>
      </c>
      <c r="F71" s="97">
        <f t="shared" ca="1" si="3"/>
        <v>22</v>
      </c>
      <c r="G71" s="98" t="s">
        <v>276</v>
      </c>
      <c r="H71" s="99">
        <v>23380</v>
      </c>
      <c r="I71" s="100">
        <v>4</v>
      </c>
    </row>
    <row r="72" spans="1:9" ht="13.5" x14ac:dyDescent="0.25">
      <c r="A72" s="94" t="s">
        <v>312</v>
      </c>
      <c r="B72" s="95" t="s">
        <v>271</v>
      </c>
      <c r="C72" s="94" t="s">
        <v>312</v>
      </c>
      <c r="D72" s="94" t="s">
        <v>247</v>
      </c>
      <c r="E72" s="96">
        <v>34538</v>
      </c>
      <c r="F72" s="97">
        <f t="shared" ca="1" si="3"/>
        <v>22</v>
      </c>
      <c r="G72" s="98"/>
      <c r="H72" s="99">
        <v>85480</v>
      </c>
      <c r="I72" s="100">
        <v>5</v>
      </c>
    </row>
    <row r="73" spans="1:9" ht="13.5" x14ac:dyDescent="0.25">
      <c r="A73" s="94" t="s">
        <v>312</v>
      </c>
      <c r="B73" s="95" t="s">
        <v>271</v>
      </c>
      <c r="C73" s="94" t="s">
        <v>312</v>
      </c>
      <c r="D73" s="94" t="s">
        <v>247</v>
      </c>
      <c r="E73" s="96">
        <v>34538</v>
      </c>
      <c r="F73" s="97">
        <f t="shared" ca="1" si="3"/>
        <v>22</v>
      </c>
      <c r="G73" s="98"/>
      <c r="H73" s="99">
        <v>85480</v>
      </c>
      <c r="I73" s="100">
        <v>5</v>
      </c>
    </row>
    <row r="74" spans="1:9" ht="13.5" x14ac:dyDescent="0.25">
      <c r="A74" s="94" t="s">
        <v>312</v>
      </c>
      <c r="B74" s="95" t="s">
        <v>271</v>
      </c>
      <c r="C74" s="94" t="s">
        <v>312</v>
      </c>
      <c r="D74" s="94" t="s">
        <v>247</v>
      </c>
      <c r="E74" s="96">
        <v>34592</v>
      </c>
      <c r="F74" s="97">
        <f t="shared" ca="1" si="3"/>
        <v>22</v>
      </c>
      <c r="G74" s="98"/>
      <c r="H74" s="99">
        <v>63340</v>
      </c>
      <c r="I74" s="100">
        <v>3</v>
      </c>
    </row>
    <row r="75" spans="1:9" ht="13.5" x14ac:dyDescent="0.25">
      <c r="A75" s="94" t="s">
        <v>312</v>
      </c>
      <c r="B75" s="95" t="s">
        <v>266</v>
      </c>
      <c r="C75" s="94" t="s">
        <v>312</v>
      </c>
      <c r="D75" s="94" t="s">
        <v>247</v>
      </c>
      <c r="E75" s="96">
        <v>34630</v>
      </c>
      <c r="F75" s="97">
        <f t="shared" ca="1" si="3"/>
        <v>22</v>
      </c>
      <c r="G75" s="98"/>
      <c r="H75" s="99">
        <v>88000</v>
      </c>
      <c r="I75" s="100">
        <v>5</v>
      </c>
    </row>
    <row r="76" spans="1:9" ht="13.5" x14ac:dyDescent="0.25">
      <c r="A76" s="94" t="s">
        <v>312</v>
      </c>
      <c r="B76" s="95" t="s">
        <v>245</v>
      </c>
      <c r="C76" s="94" t="s">
        <v>312</v>
      </c>
      <c r="D76" s="94" t="s">
        <v>256</v>
      </c>
      <c r="E76" s="96">
        <v>34655</v>
      </c>
      <c r="F76" s="97">
        <f t="shared" ca="1" si="3"/>
        <v>21</v>
      </c>
      <c r="G76" s="98" t="s">
        <v>267</v>
      </c>
      <c r="H76" s="99">
        <v>34780</v>
      </c>
      <c r="I76" s="100">
        <v>4</v>
      </c>
    </row>
    <row r="77" spans="1:9" ht="13.5" x14ac:dyDescent="0.25">
      <c r="A77" s="94" t="s">
        <v>312</v>
      </c>
      <c r="B77" s="95" t="s">
        <v>280</v>
      </c>
      <c r="C77" s="94" t="s">
        <v>312</v>
      </c>
      <c r="D77" s="94" t="s">
        <v>247</v>
      </c>
      <c r="E77" s="96">
        <v>34728</v>
      </c>
      <c r="F77" s="97">
        <f t="shared" ca="1" si="3"/>
        <v>21</v>
      </c>
      <c r="G77" s="98"/>
      <c r="H77" s="99">
        <v>30340</v>
      </c>
      <c r="I77" s="100">
        <v>3</v>
      </c>
    </row>
    <row r="78" spans="1:9" ht="13.5" x14ac:dyDescent="0.25">
      <c r="A78" s="94" t="s">
        <v>312</v>
      </c>
      <c r="B78" s="95" t="s">
        <v>245</v>
      </c>
      <c r="C78" s="94" t="s">
        <v>312</v>
      </c>
      <c r="D78" s="94" t="s">
        <v>252</v>
      </c>
      <c r="E78" s="96">
        <v>34749</v>
      </c>
      <c r="F78" s="97">
        <f t="shared" ca="1" si="3"/>
        <v>21</v>
      </c>
      <c r="G78" s="98"/>
      <c r="H78" s="99">
        <v>18500</v>
      </c>
      <c r="I78" s="100">
        <v>5</v>
      </c>
    </row>
    <row r="79" spans="1:9" ht="13.5" x14ac:dyDescent="0.25">
      <c r="A79" s="94" t="s">
        <v>312</v>
      </c>
      <c r="B79" s="95" t="s">
        <v>245</v>
      </c>
      <c r="C79" s="94" t="s">
        <v>312</v>
      </c>
      <c r="D79" s="94" t="s">
        <v>247</v>
      </c>
      <c r="E79" s="96">
        <v>34777</v>
      </c>
      <c r="F79" s="97">
        <f t="shared" ca="1" si="3"/>
        <v>21</v>
      </c>
      <c r="G79" s="98"/>
      <c r="H79" s="99">
        <v>76930</v>
      </c>
      <c r="I79" s="100">
        <v>1</v>
      </c>
    </row>
    <row r="80" spans="1:9" ht="13.5" x14ac:dyDescent="0.25">
      <c r="A80" s="94" t="s">
        <v>312</v>
      </c>
      <c r="B80" s="95" t="s">
        <v>245</v>
      </c>
      <c r="C80" s="94" t="s">
        <v>312</v>
      </c>
      <c r="D80" s="94" t="s">
        <v>247</v>
      </c>
      <c r="E80" s="96">
        <v>35160</v>
      </c>
      <c r="F80" s="97">
        <f t="shared" ca="1" si="3"/>
        <v>20</v>
      </c>
      <c r="G80" s="98"/>
      <c r="H80" s="99">
        <v>23560</v>
      </c>
      <c r="I80" s="100">
        <v>3</v>
      </c>
    </row>
    <row r="81" spans="1:9" ht="13.5" x14ac:dyDescent="0.25">
      <c r="A81" s="94" t="s">
        <v>312</v>
      </c>
      <c r="B81" s="95" t="s">
        <v>245</v>
      </c>
      <c r="C81" s="94" t="s">
        <v>312</v>
      </c>
      <c r="D81" s="94" t="s">
        <v>252</v>
      </c>
      <c r="E81" s="96">
        <v>35177</v>
      </c>
      <c r="F81" s="97">
        <f t="shared" ca="1" si="3"/>
        <v>20</v>
      </c>
      <c r="G81" s="98"/>
      <c r="H81" s="99">
        <v>33056</v>
      </c>
      <c r="I81" s="100">
        <v>5</v>
      </c>
    </row>
    <row r="82" spans="1:9" ht="13.5" x14ac:dyDescent="0.25">
      <c r="A82" s="94" t="s">
        <v>312</v>
      </c>
      <c r="B82" s="95" t="s">
        <v>285</v>
      </c>
      <c r="C82" s="94" t="s">
        <v>312</v>
      </c>
      <c r="D82" s="94" t="s">
        <v>256</v>
      </c>
      <c r="E82" s="96">
        <v>35196</v>
      </c>
      <c r="F82" s="97">
        <f t="shared" ca="1" si="3"/>
        <v>20</v>
      </c>
      <c r="G82" s="98" t="s">
        <v>283</v>
      </c>
      <c r="H82" s="99">
        <v>32100</v>
      </c>
      <c r="I82" s="100">
        <v>1</v>
      </c>
    </row>
    <row r="83" spans="1:9" ht="13.5" x14ac:dyDescent="0.25">
      <c r="A83" s="94" t="s">
        <v>312</v>
      </c>
      <c r="B83" s="95" t="s">
        <v>285</v>
      </c>
      <c r="C83" s="94" t="s">
        <v>312</v>
      </c>
      <c r="D83" s="94" t="s">
        <v>252</v>
      </c>
      <c r="E83" s="96">
        <v>35292</v>
      </c>
      <c r="F83" s="97">
        <f t="shared" ca="1" si="3"/>
        <v>20</v>
      </c>
      <c r="G83" s="98"/>
      <c r="H83" s="99">
        <v>30080</v>
      </c>
      <c r="I83" s="100">
        <v>3</v>
      </c>
    </row>
    <row r="84" spans="1:9" ht="13.5" x14ac:dyDescent="0.25">
      <c r="A84" s="94" t="s">
        <v>312</v>
      </c>
      <c r="B84" s="95" t="s">
        <v>266</v>
      </c>
      <c r="C84" s="94" t="s">
        <v>312</v>
      </c>
      <c r="D84" s="94" t="s">
        <v>261</v>
      </c>
      <c r="E84" s="96">
        <v>35586</v>
      </c>
      <c r="F84" s="97">
        <f t="shared" ca="1" si="3"/>
        <v>19</v>
      </c>
      <c r="G84" s="98" t="s">
        <v>257</v>
      </c>
      <c r="H84" s="99">
        <v>35280</v>
      </c>
      <c r="I84" s="100">
        <v>3</v>
      </c>
    </row>
    <row r="85" spans="1:9" ht="13.5" x14ac:dyDescent="0.25">
      <c r="A85" s="94" t="s">
        <v>312</v>
      </c>
      <c r="B85" s="95" t="s">
        <v>285</v>
      </c>
      <c r="C85" s="94" t="s">
        <v>312</v>
      </c>
      <c r="D85" s="94" t="s">
        <v>256</v>
      </c>
      <c r="E85" s="96">
        <v>35698</v>
      </c>
      <c r="F85" s="97">
        <f t="shared" ca="1" si="3"/>
        <v>19</v>
      </c>
      <c r="G85" s="98" t="s">
        <v>257</v>
      </c>
      <c r="H85" s="99">
        <v>27180</v>
      </c>
      <c r="I85" s="100">
        <v>4</v>
      </c>
    </row>
    <row r="86" spans="1:9" ht="13.5" x14ac:dyDescent="0.25">
      <c r="A86" s="94" t="s">
        <v>312</v>
      </c>
      <c r="B86" s="95" t="s">
        <v>285</v>
      </c>
      <c r="C86" s="94" t="s">
        <v>312</v>
      </c>
      <c r="D86" s="94" t="s">
        <v>256</v>
      </c>
      <c r="E86" s="96">
        <v>35708</v>
      </c>
      <c r="F86" s="97">
        <f t="shared" ca="1" si="3"/>
        <v>19</v>
      </c>
      <c r="G86" s="98" t="s">
        <v>283</v>
      </c>
      <c r="H86" s="99">
        <v>28650</v>
      </c>
      <c r="I86" s="100">
        <v>4</v>
      </c>
    </row>
    <row r="87" spans="1:9" ht="13.5" x14ac:dyDescent="0.25">
      <c r="A87" s="94" t="s">
        <v>312</v>
      </c>
      <c r="B87" s="95" t="s">
        <v>271</v>
      </c>
      <c r="C87" s="94" t="s">
        <v>312</v>
      </c>
      <c r="D87" s="94" t="s">
        <v>256</v>
      </c>
      <c r="E87" s="96">
        <v>35866</v>
      </c>
      <c r="F87" s="97">
        <f t="shared" ca="1" si="3"/>
        <v>18</v>
      </c>
      <c r="G87" s="98" t="s">
        <v>267</v>
      </c>
      <c r="H87" s="99">
        <v>62790</v>
      </c>
      <c r="I87" s="100">
        <v>2</v>
      </c>
    </row>
    <row r="88" spans="1:9" ht="13.5" x14ac:dyDescent="0.25">
      <c r="A88" s="94" t="s">
        <v>312</v>
      </c>
      <c r="B88" s="95" t="s">
        <v>271</v>
      </c>
      <c r="C88" s="94" t="s">
        <v>312</v>
      </c>
      <c r="D88" s="94" t="s">
        <v>256</v>
      </c>
      <c r="E88" s="96">
        <v>35931</v>
      </c>
      <c r="F88" s="97">
        <f t="shared" ca="1" si="3"/>
        <v>18</v>
      </c>
      <c r="G88" s="98" t="s">
        <v>257</v>
      </c>
      <c r="H88" s="99">
        <v>71950</v>
      </c>
      <c r="I88" s="100">
        <v>5</v>
      </c>
    </row>
    <row r="89" spans="1:9" ht="13.5" x14ac:dyDescent="0.25">
      <c r="A89" s="94" t="s">
        <v>312</v>
      </c>
      <c r="B89" s="95" t="s">
        <v>285</v>
      </c>
      <c r="C89" s="94" t="s">
        <v>312</v>
      </c>
      <c r="D89" s="94" t="s">
        <v>256</v>
      </c>
      <c r="E89" s="96">
        <v>36038</v>
      </c>
      <c r="F89" s="97">
        <f t="shared" ca="1" si="3"/>
        <v>18</v>
      </c>
      <c r="G89" s="98" t="s">
        <v>262</v>
      </c>
      <c r="H89" s="99">
        <v>85880</v>
      </c>
      <c r="I89" s="100">
        <v>3</v>
      </c>
    </row>
    <row r="90" spans="1:9" ht="13.5" x14ac:dyDescent="0.25">
      <c r="A90" s="94" t="s">
        <v>312</v>
      </c>
      <c r="B90" s="95" t="s">
        <v>285</v>
      </c>
      <c r="C90" s="94" t="s">
        <v>312</v>
      </c>
      <c r="D90" s="94" t="s">
        <v>256</v>
      </c>
      <c r="E90" s="96">
        <v>36475</v>
      </c>
      <c r="F90" s="97">
        <f t="shared" ca="1" si="3"/>
        <v>16</v>
      </c>
      <c r="G90" s="98" t="s">
        <v>283</v>
      </c>
      <c r="H90" s="99">
        <v>87280</v>
      </c>
      <c r="I90" s="100">
        <v>4</v>
      </c>
    </row>
    <row r="91" spans="1:9" ht="13.5" x14ac:dyDescent="0.25">
      <c r="A91" s="94" t="s">
        <v>312</v>
      </c>
      <c r="B91" s="95" t="s">
        <v>245</v>
      </c>
      <c r="C91" s="94" t="s">
        <v>312</v>
      </c>
      <c r="D91" s="94" t="s">
        <v>256</v>
      </c>
      <c r="E91" s="96">
        <v>36650</v>
      </c>
      <c r="F91" s="97">
        <f t="shared" ca="1" si="3"/>
        <v>16</v>
      </c>
      <c r="G91" s="98" t="s">
        <v>257</v>
      </c>
      <c r="H91" s="99">
        <v>66890</v>
      </c>
      <c r="I91" s="100">
        <v>5</v>
      </c>
    </row>
    <row r="92" spans="1:9" ht="13.5" x14ac:dyDescent="0.25">
      <c r="A92" s="94" t="s">
        <v>312</v>
      </c>
      <c r="B92" s="95" t="s">
        <v>245</v>
      </c>
      <c r="C92" s="94" t="s">
        <v>312</v>
      </c>
      <c r="D92" s="94" t="s">
        <v>247</v>
      </c>
      <c r="E92" s="96">
        <v>37660</v>
      </c>
      <c r="F92" s="97">
        <f t="shared" ca="1" si="3"/>
        <v>13</v>
      </c>
      <c r="G92" s="98"/>
      <c r="H92" s="99">
        <v>83070</v>
      </c>
      <c r="I92" s="100">
        <v>3</v>
      </c>
    </row>
    <row r="93" spans="1:9" ht="13.5" x14ac:dyDescent="0.25">
      <c r="A93" s="94" t="s">
        <v>312</v>
      </c>
      <c r="B93" s="95" t="s">
        <v>245</v>
      </c>
      <c r="C93" s="94" t="s">
        <v>312</v>
      </c>
      <c r="D93" s="94" t="s">
        <v>247</v>
      </c>
      <c r="E93" s="96">
        <v>37730</v>
      </c>
      <c r="F93" s="97">
        <f t="shared" ca="1" si="3"/>
        <v>13</v>
      </c>
      <c r="G93" s="98"/>
      <c r="H93" s="99">
        <v>62150</v>
      </c>
      <c r="I93" s="100">
        <v>4</v>
      </c>
    </row>
    <row r="94" spans="1:9" ht="13.5" x14ac:dyDescent="0.25">
      <c r="A94" s="94" t="s">
        <v>312</v>
      </c>
      <c r="B94" s="95" t="s">
        <v>266</v>
      </c>
      <c r="C94" s="94" t="s">
        <v>312</v>
      </c>
      <c r="D94" s="94" t="s">
        <v>261</v>
      </c>
      <c r="E94" s="96">
        <v>38492</v>
      </c>
      <c r="F94" s="97">
        <f t="shared" ca="1" si="3"/>
        <v>11</v>
      </c>
      <c r="G94" s="98" t="s">
        <v>276</v>
      </c>
      <c r="H94" s="99">
        <v>22535</v>
      </c>
      <c r="I94" s="100">
        <v>3</v>
      </c>
    </row>
    <row r="95" spans="1:9" ht="13.5" x14ac:dyDescent="0.25">
      <c r="A95" s="94" t="s">
        <v>312</v>
      </c>
      <c r="B95" s="95" t="s">
        <v>280</v>
      </c>
      <c r="C95" s="94" t="s">
        <v>312</v>
      </c>
      <c r="D95" s="94" t="s">
        <v>247</v>
      </c>
      <c r="E95" s="96">
        <v>38612</v>
      </c>
      <c r="F95" s="97">
        <f t="shared" ca="1" si="3"/>
        <v>11</v>
      </c>
      <c r="G95" s="98"/>
      <c r="H95" s="99">
        <v>25790</v>
      </c>
      <c r="I95" s="100">
        <v>3</v>
      </c>
    </row>
    <row r="96" spans="1:9" ht="13.5" x14ac:dyDescent="0.25">
      <c r="A96" s="94" t="s">
        <v>312</v>
      </c>
      <c r="B96" s="95" t="s">
        <v>285</v>
      </c>
      <c r="C96" s="94" t="s">
        <v>312</v>
      </c>
      <c r="D96" s="94" t="s">
        <v>247</v>
      </c>
      <c r="E96" s="96">
        <v>38649</v>
      </c>
      <c r="F96" s="97">
        <f t="shared" ca="1" si="3"/>
        <v>11</v>
      </c>
      <c r="G96" s="98"/>
      <c r="H96" s="99">
        <v>79460</v>
      </c>
      <c r="I96" s="100">
        <v>5</v>
      </c>
    </row>
    <row r="97" spans="1:9" ht="13.5" x14ac:dyDescent="0.25">
      <c r="A97" s="94" t="s">
        <v>312</v>
      </c>
      <c r="B97" s="95" t="s">
        <v>271</v>
      </c>
      <c r="C97" s="94" t="s">
        <v>312</v>
      </c>
      <c r="D97" s="94" t="s">
        <v>256</v>
      </c>
      <c r="E97" s="96">
        <v>38775</v>
      </c>
      <c r="F97" s="97">
        <f t="shared" ca="1" si="3"/>
        <v>10</v>
      </c>
      <c r="G97" s="98" t="s">
        <v>257</v>
      </c>
      <c r="H97" s="99">
        <v>41490</v>
      </c>
      <c r="I97" s="100">
        <v>5</v>
      </c>
    </row>
    <row r="98" spans="1:9" ht="13.5" x14ac:dyDescent="0.25">
      <c r="A98" s="94" t="s">
        <v>312</v>
      </c>
      <c r="B98" s="95" t="s">
        <v>271</v>
      </c>
      <c r="C98" s="94" t="s">
        <v>312</v>
      </c>
      <c r="D98" s="94" t="s">
        <v>256</v>
      </c>
      <c r="E98" s="96">
        <v>38964</v>
      </c>
      <c r="F98" s="97">
        <f t="shared" ca="1" si="3"/>
        <v>10</v>
      </c>
      <c r="G98" s="98" t="s">
        <v>262</v>
      </c>
      <c r="H98" s="99">
        <v>38730</v>
      </c>
      <c r="I98" s="100">
        <v>1</v>
      </c>
    </row>
    <row r="99" spans="1:9" ht="13.5" x14ac:dyDescent="0.25">
      <c r="A99" s="94" t="s">
        <v>312</v>
      </c>
      <c r="B99" s="95" t="s">
        <v>245</v>
      </c>
      <c r="C99" s="94" t="s">
        <v>312</v>
      </c>
      <c r="D99" s="94" t="s">
        <v>256</v>
      </c>
      <c r="E99" s="102">
        <v>38982</v>
      </c>
      <c r="F99" s="97">
        <f t="shared" ca="1" si="3"/>
        <v>10</v>
      </c>
      <c r="G99" s="98" t="s">
        <v>257</v>
      </c>
      <c r="H99" s="99">
        <v>23280</v>
      </c>
      <c r="I99" s="100">
        <v>1</v>
      </c>
    </row>
    <row r="100" spans="1:9" ht="13.5" x14ac:dyDescent="0.25">
      <c r="A100" s="94" t="s">
        <v>312</v>
      </c>
      <c r="B100" s="95" t="s">
        <v>271</v>
      </c>
      <c r="C100" s="94" t="s">
        <v>312</v>
      </c>
      <c r="D100" s="94" t="s">
        <v>256</v>
      </c>
      <c r="E100" s="96">
        <v>39191</v>
      </c>
      <c r="F100" s="97">
        <f t="shared" ca="1" si="3"/>
        <v>9</v>
      </c>
      <c r="G100" s="98" t="s">
        <v>267</v>
      </c>
      <c r="H100" s="99">
        <v>77820</v>
      </c>
      <c r="I100" s="100">
        <v>3</v>
      </c>
    </row>
    <row r="101" spans="1:9" ht="13.5" x14ac:dyDescent="0.25">
      <c r="A101" s="94" t="s">
        <v>312</v>
      </c>
      <c r="B101" s="95" t="s">
        <v>251</v>
      </c>
      <c r="C101" s="94" t="s">
        <v>312</v>
      </c>
      <c r="D101" s="94" t="s">
        <v>256</v>
      </c>
      <c r="E101" s="96">
        <v>39265</v>
      </c>
      <c r="F101" s="97">
        <f t="shared" ca="1" si="3"/>
        <v>9</v>
      </c>
      <c r="G101" s="98" t="s">
        <v>276</v>
      </c>
      <c r="H101" s="99">
        <v>74710</v>
      </c>
      <c r="I101" s="100">
        <v>2</v>
      </c>
    </row>
    <row r="102" spans="1:9" ht="13.5" x14ac:dyDescent="0.25">
      <c r="A102" s="94" t="s">
        <v>312</v>
      </c>
      <c r="B102" s="95" t="s">
        <v>285</v>
      </c>
      <c r="C102" s="94" t="s">
        <v>312</v>
      </c>
      <c r="D102" s="94" t="s">
        <v>256</v>
      </c>
      <c r="E102" s="96">
        <v>39286</v>
      </c>
      <c r="F102" s="97">
        <f t="shared" ca="1" si="3"/>
        <v>9</v>
      </c>
      <c r="G102" s="98" t="s">
        <v>267</v>
      </c>
      <c r="H102" s="99">
        <v>68910</v>
      </c>
      <c r="I102" s="100">
        <v>5</v>
      </c>
    </row>
    <row r="103" spans="1:9" ht="13.5" x14ac:dyDescent="0.25">
      <c r="A103" s="101" t="s">
        <v>1040</v>
      </c>
      <c r="B103" s="95"/>
      <c r="C103" s="101"/>
      <c r="D103" s="94"/>
      <c r="E103" s="96"/>
      <c r="F103" s="97"/>
      <c r="G103" s="98"/>
      <c r="H103" s="99"/>
      <c r="I103" s="100"/>
    </row>
    <row r="104" spans="1:9" ht="13.5" x14ac:dyDescent="0.25">
      <c r="A104" s="94" t="s">
        <v>372</v>
      </c>
      <c r="B104" s="95" t="s">
        <v>285</v>
      </c>
      <c r="C104" s="94" t="s">
        <v>372</v>
      </c>
      <c r="D104" s="94" t="s">
        <v>256</v>
      </c>
      <c r="E104" s="96">
        <v>36573</v>
      </c>
      <c r="F104" s="97">
        <f t="shared" ref="F104:F111" ca="1" si="4">DATEDIF(E104,TODAY(),"Y")</f>
        <v>16</v>
      </c>
      <c r="G104" s="98" t="s">
        <v>257</v>
      </c>
      <c r="H104" s="99">
        <v>86530</v>
      </c>
      <c r="I104" s="100">
        <v>1</v>
      </c>
    </row>
    <row r="105" spans="1:9" ht="13.5" x14ac:dyDescent="0.25">
      <c r="A105" s="94" t="s">
        <v>372</v>
      </c>
      <c r="B105" s="95" t="s">
        <v>271</v>
      </c>
      <c r="C105" s="94" t="s">
        <v>372</v>
      </c>
      <c r="D105" s="94" t="s">
        <v>256</v>
      </c>
      <c r="E105" s="96">
        <v>37087</v>
      </c>
      <c r="F105" s="97">
        <f t="shared" ca="1" si="4"/>
        <v>15</v>
      </c>
      <c r="G105" s="98" t="s">
        <v>257</v>
      </c>
      <c r="H105" s="99">
        <v>36630</v>
      </c>
      <c r="I105" s="100">
        <v>4</v>
      </c>
    </row>
    <row r="106" spans="1:9" ht="13.5" x14ac:dyDescent="0.25">
      <c r="A106" s="94" t="s">
        <v>372</v>
      </c>
      <c r="B106" s="95" t="s">
        <v>285</v>
      </c>
      <c r="C106" s="94" t="s">
        <v>372</v>
      </c>
      <c r="D106" s="94" t="s">
        <v>247</v>
      </c>
      <c r="E106" s="96">
        <v>37445</v>
      </c>
      <c r="F106" s="97">
        <f t="shared" ca="1" si="4"/>
        <v>14</v>
      </c>
      <c r="G106" s="98"/>
      <c r="H106" s="99">
        <v>78860</v>
      </c>
      <c r="I106" s="100">
        <v>2</v>
      </c>
    </row>
    <row r="107" spans="1:9" ht="13.5" x14ac:dyDescent="0.25">
      <c r="A107" s="94" t="s">
        <v>372</v>
      </c>
      <c r="B107" s="95" t="s">
        <v>280</v>
      </c>
      <c r="C107" s="94" t="s">
        <v>372</v>
      </c>
      <c r="D107" s="94" t="s">
        <v>256</v>
      </c>
      <c r="E107" s="96">
        <v>38078</v>
      </c>
      <c r="F107" s="97">
        <f t="shared" ca="1" si="4"/>
        <v>12</v>
      </c>
      <c r="G107" s="98" t="s">
        <v>257</v>
      </c>
      <c r="H107" s="99">
        <v>71120</v>
      </c>
      <c r="I107" s="100">
        <v>4</v>
      </c>
    </row>
    <row r="108" spans="1:9" ht="13.5" x14ac:dyDescent="0.25">
      <c r="A108" s="94" t="s">
        <v>372</v>
      </c>
      <c r="B108" s="95" t="s">
        <v>271</v>
      </c>
      <c r="C108" s="94" t="s">
        <v>372</v>
      </c>
      <c r="D108" s="94" t="s">
        <v>247</v>
      </c>
      <c r="E108" s="96">
        <v>38219</v>
      </c>
      <c r="F108" s="97">
        <f t="shared" ca="1" si="4"/>
        <v>12</v>
      </c>
      <c r="G108" s="98"/>
      <c r="H108" s="99">
        <v>35620</v>
      </c>
      <c r="I108" s="100">
        <v>4</v>
      </c>
    </row>
    <row r="109" spans="1:9" ht="13.5" x14ac:dyDescent="0.25">
      <c r="A109" s="94" t="s">
        <v>372</v>
      </c>
      <c r="B109" s="95" t="s">
        <v>285</v>
      </c>
      <c r="C109" s="94" t="s">
        <v>372</v>
      </c>
      <c r="D109" s="94" t="s">
        <v>256</v>
      </c>
      <c r="E109" s="96">
        <v>38613</v>
      </c>
      <c r="F109" s="97">
        <f t="shared" ca="1" si="4"/>
        <v>11</v>
      </c>
      <c r="G109" s="98" t="s">
        <v>257</v>
      </c>
      <c r="H109" s="99">
        <v>76440</v>
      </c>
      <c r="I109" s="100">
        <v>3</v>
      </c>
    </row>
    <row r="110" spans="1:9" ht="13.5" x14ac:dyDescent="0.25">
      <c r="A110" s="94" t="s">
        <v>372</v>
      </c>
      <c r="B110" s="95" t="s">
        <v>285</v>
      </c>
      <c r="C110" s="94" t="s">
        <v>372</v>
      </c>
      <c r="D110" s="94" t="s">
        <v>247</v>
      </c>
      <c r="E110" s="102">
        <v>38943</v>
      </c>
      <c r="F110" s="97">
        <f t="shared" ca="1" si="4"/>
        <v>10</v>
      </c>
      <c r="G110" s="98"/>
      <c r="H110" s="99">
        <v>59350</v>
      </c>
      <c r="I110" s="100">
        <v>5</v>
      </c>
    </row>
    <row r="111" spans="1:9" ht="13.5" x14ac:dyDescent="0.25">
      <c r="A111" s="94" t="s">
        <v>372</v>
      </c>
      <c r="B111" s="95" t="s">
        <v>251</v>
      </c>
      <c r="C111" s="94" t="s">
        <v>372</v>
      </c>
      <c r="D111" s="94" t="s">
        <v>261</v>
      </c>
      <c r="E111" s="102">
        <v>39195</v>
      </c>
      <c r="F111" s="97">
        <f t="shared" ca="1" si="4"/>
        <v>9</v>
      </c>
      <c r="G111" s="98" t="s">
        <v>283</v>
      </c>
      <c r="H111" s="99">
        <v>46230</v>
      </c>
      <c r="I111" s="100">
        <v>2</v>
      </c>
    </row>
    <row r="112" spans="1:9" ht="13.5" x14ac:dyDescent="0.25">
      <c r="A112" s="101" t="s">
        <v>1041</v>
      </c>
      <c r="B112" s="95"/>
      <c r="C112" s="101"/>
      <c r="D112" s="94"/>
      <c r="E112" s="102"/>
      <c r="F112" s="97"/>
      <c r="G112" s="98"/>
      <c r="H112" s="99"/>
      <c r="I112" s="100"/>
    </row>
    <row r="113" spans="1:9" ht="13.5" x14ac:dyDescent="0.25">
      <c r="A113" s="94" t="s">
        <v>381</v>
      </c>
      <c r="B113" s="95" t="s">
        <v>285</v>
      </c>
      <c r="C113" s="94" t="s">
        <v>381</v>
      </c>
      <c r="D113" s="94" t="s">
        <v>256</v>
      </c>
      <c r="E113" s="96">
        <v>31761</v>
      </c>
      <c r="F113" s="97">
        <f t="shared" ref="F113:F121" ca="1" si="5">DATEDIF(E113,TODAY(),"Y")</f>
        <v>29</v>
      </c>
      <c r="G113" s="98" t="s">
        <v>283</v>
      </c>
      <c r="H113" s="99">
        <v>69060</v>
      </c>
      <c r="I113" s="100">
        <v>1</v>
      </c>
    </row>
    <row r="114" spans="1:9" ht="13.5" x14ac:dyDescent="0.25">
      <c r="A114" s="94" t="s">
        <v>381</v>
      </c>
      <c r="B114" s="95" t="s">
        <v>271</v>
      </c>
      <c r="C114" s="94" t="s">
        <v>381</v>
      </c>
      <c r="D114" s="94" t="s">
        <v>256</v>
      </c>
      <c r="E114" s="96">
        <v>34139</v>
      </c>
      <c r="F114" s="97">
        <f t="shared" ca="1" si="5"/>
        <v>23</v>
      </c>
      <c r="G114" s="98" t="s">
        <v>283</v>
      </c>
      <c r="H114" s="99">
        <v>22920</v>
      </c>
      <c r="I114" s="100">
        <v>3</v>
      </c>
    </row>
    <row r="115" spans="1:9" ht="13.5" x14ac:dyDescent="0.25">
      <c r="A115" s="94" t="s">
        <v>381</v>
      </c>
      <c r="B115" s="95" t="s">
        <v>266</v>
      </c>
      <c r="C115" s="94" t="s">
        <v>381</v>
      </c>
      <c r="D115" s="94" t="s">
        <v>256</v>
      </c>
      <c r="E115" s="96">
        <v>34204</v>
      </c>
      <c r="F115" s="97">
        <f t="shared" ca="1" si="5"/>
        <v>23</v>
      </c>
      <c r="G115" s="98" t="s">
        <v>267</v>
      </c>
      <c r="H115" s="99">
        <v>26510</v>
      </c>
      <c r="I115" s="100">
        <v>1</v>
      </c>
    </row>
    <row r="116" spans="1:9" ht="13.5" x14ac:dyDescent="0.25">
      <c r="A116" s="94" t="s">
        <v>381</v>
      </c>
      <c r="B116" s="95" t="s">
        <v>280</v>
      </c>
      <c r="C116" s="94" t="s">
        <v>381</v>
      </c>
      <c r="D116" s="94" t="s">
        <v>256</v>
      </c>
      <c r="E116" s="96">
        <v>34872</v>
      </c>
      <c r="F116" s="97">
        <f t="shared" ca="1" si="5"/>
        <v>21</v>
      </c>
      <c r="G116" s="98" t="s">
        <v>283</v>
      </c>
      <c r="H116" s="99">
        <v>68300</v>
      </c>
      <c r="I116" s="100">
        <v>5</v>
      </c>
    </row>
    <row r="117" spans="1:9" ht="13.5" x14ac:dyDescent="0.25">
      <c r="A117" s="94" t="s">
        <v>381</v>
      </c>
      <c r="B117" s="95" t="s">
        <v>271</v>
      </c>
      <c r="C117" s="94" t="s">
        <v>381</v>
      </c>
      <c r="D117" s="94" t="s">
        <v>256</v>
      </c>
      <c r="E117" s="96">
        <v>34939</v>
      </c>
      <c r="F117" s="97">
        <f t="shared" ca="1" si="5"/>
        <v>21</v>
      </c>
      <c r="G117" s="98" t="s">
        <v>257</v>
      </c>
      <c r="H117" s="99">
        <v>49860</v>
      </c>
      <c r="I117" s="100">
        <v>2</v>
      </c>
    </row>
    <row r="118" spans="1:9" ht="13.5" x14ac:dyDescent="0.25">
      <c r="A118" s="94" t="s">
        <v>381</v>
      </c>
      <c r="B118" s="95" t="s">
        <v>285</v>
      </c>
      <c r="C118" s="94" t="s">
        <v>381</v>
      </c>
      <c r="D118" s="94" t="s">
        <v>256</v>
      </c>
      <c r="E118" s="96">
        <v>37837</v>
      </c>
      <c r="F118" s="97">
        <f t="shared" ca="1" si="5"/>
        <v>13</v>
      </c>
      <c r="G118" s="98" t="s">
        <v>283</v>
      </c>
      <c r="H118" s="99">
        <v>43680</v>
      </c>
      <c r="I118" s="100">
        <v>5</v>
      </c>
    </row>
    <row r="119" spans="1:9" ht="13.5" x14ac:dyDescent="0.25">
      <c r="A119" s="94" t="s">
        <v>381</v>
      </c>
      <c r="B119" s="95" t="s">
        <v>271</v>
      </c>
      <c r="C119" s="94" t="s">
        <v>381</v>
      </c>
      <c r="D119" s="94" t="s">
        <v>252</v>
      </c>
      <c r="E119" s="102">
        <v>39003</v>
      </c>
      <c r="F119" s="97">
        <f t="shared" ca="1" si="5"/>
        <v>10</v>
      </c>
      <c r="G119" s="98"/>
      <c r="H119" s="99">
        <v>27484</v>
      </c>
      <c r="I119" s="100">
        <v>4</v>
      </c>
    </row>
    <row r="120" spans="1:9" ht="13.5" x14ac:dyDescent="0.25">
      <c r="A120" s="94" t="s">
        <v>381</v>
      </c>
      <c r="B120" s="95" t="s">
        <v>271</v>
      </c>
      <c r="C120" s="94" t="s">
        <v>381</v>
      </c>
      <c r="D120" s="94" t="s">
        <v>261</v>
      </c>
      <c r="E120" s="102">
        <v>39206</v>
      </c>
      <c r="F120" s="97">
        <f t="shared" ca="1" si="5"/>
        <v>9</v>
      </c>
      <c r="G120" s="98" t="s">
        <v>283</v>
      </c>
      <c r="H120" s="99">
        <v>28625</v>
      </c>
      <c r="I120" s="100">
        <v>1</v>
      </c>
    </row>
    <row r="121" spans="1:9" ht="13.5" x14ac:dyDescent="0.25">
      <c r="A121" s="94" t="s">
        <v>381</v>
      </c>
      <c r="B121" s="95" t="s">
        <v>285</v>
      </c>
      <c r="C121" s="94" t="s">
        <v>381</v>
      </c>
      <c r="D121" s="94" t="s">
        <v>261</v>
      </c>
      <c r="E121" s="96">
        <v>39262</v>
      </c>
      <c r="F121" s="97">
        <f t="shared" ca="1" si="5"/>
        <v>9</v>
      </c>
      <c r="G121" s="98" t="s">
        <v>283</v>
      </c>
      <c r="H121" s="99">
        <v>10520</v>
      </c>
      <c r="I121" s="100">
        <v>4</v>
      </c>
    </row>
    <row r="122" spans="1:9" ht="13.5" x14ac:dyDescent="0.25">
      <c r="A122" s="101" t="s">
        <v>1042</v>
      </c>
      <c r="B122" s="95"/>
      <c r="C122" s="101"/>
      <c r="D122" s="94"/>
      <c r="E122" s="96"/>
      <c r="F122" s="97"/>
      <c r="G122" s="98"/>
      <c r="H122" s="99"/>
      <c r="I122" s="100"/>
    </row>
    <row r="123" spans="1:9" ht="13.5" x14ac:dyDescent="0.25">
      <c r="A123" s="94" t="s">
        <v>391</v>
      </c>
      <c r="B123" s="95" t="s">
        <v>285</v>
      </c>
      <c r="C123" s="94" t="s">
        <v>391</v>
      </c>
      <c r="D123" s="94" t="s">
        <v>252</v>
      </c>
      <c r="E123" s="96">
        <v>31873</v>
      </c>
      <c r="F123" s="97">
        <f t="shared" ref="F123:F141" ca="1" si="6">DATEDIF(E123,TODAY(),"Y")</f>
        <v>29</v>
      </c>
      <c r="G123" s="98"/>
      <c r="H123" s="99">
        <v>14712</v>
      </c>
      <c r="I123" s="100">
        <v>5</v>
      </c>
    </row>
    <row r="124" spans="1:9" ht="13.5" x14ac:dyDescent="0.25">
      <c r="A124" s="94" t="s">
        <v>391</v>
      </c>
      <c r="B124" s="95" t="s">
        <v>251</v>
      </c>
      <c r="C124" s="94" t="s">
        <v>391</v>
      </c>
      <c r="D124" s="94" t="s">
        <v>247</v>
      </c>
      <c r="E124" s="96">
        <v>31935</v>
      </c>
      <c r="F124" s="97">
        <f t="shared" ca="1" si="6"/>
        <v>29</v>
      </c>
      <c r="G124" s="98"/>
      <c r="H124" s="99">
        <v>80050</v>
      </c>
      <c r="I124" s="100">
        <v>2</v>
      </c>
    </row>
    <row r="125" spans="1:9" ht="13.5" x14ac:dyDescent="0.25">
      <c r="A125" s="94" t="s">
        <v>391</v>
      </c>
      <c r="B125" s="95" t="s">
        <v>245</v>
      </c>
      <c r="C125" s="94" t="s">
        <v>391</v>
      </c>
      <c r="D125" s="94" t="s">
        <v>256</v>
      </c>
      <c r="E125" s="96">
        <v>32137</v>
      </c>
      <c r="F125" s="97">
        <f t="shared" ca="1" si="6"/>
        <v>28</v>
      </c>
      <c r="G125" s="98" t="s">
        <v>283</v>
      </c>
      <c r="H125" s="99">
        <v>37620</v>
      </c>
      <c r="I125" s="100">
        <v>5</v>
      </c>
    </row>
    <row r="126" spans="1:9" ht="13.5" x14ac:dyDescent="0.25">
      <c r="A126" s="94" t="s">
        <v>391</v>
      </c>
      <c r="B126" s="95" t="s">
        <v>271</v>
      </c>
      <c r="C126" s="94" t="s">
        <v>391</v>
      </c>
      <c r="D126" s="94" t="s">
        <v>256</v>
      </c>
      <c r="E126" s="96">
        <v>32303</v>
      </c>
      <c r="F126" s="97">
        <f t="shared" ca="1" si="6"/>
        <v>28</v>
      </c>
      <c r="G126" s="98" t="s">
        <v>267</v>
      </c>
      <c r="H126" s="99">
        <v>82500</v>
      </c>
      <c r="I126" s="100">
        <v>5</v>
      </c>
    </row>
    <row r="127" spans="1:9" ht="13.5" x14ac:dyDescent="0.25">
      <c r="A127" s="94" t="s">
        <v>391</v>
      </c>
      <c r="B127" s="95" t="s">
        <v>285</v>
      </c>
      <c r="C127" s="94" t="s">
        <v>391</v>
      </c>
      <c r="D127" s="94" t="s">
        <v>256</v>
      </c>
      <c r="E127" s="96">
        <v>32513</v>
      </c>
      <c r="F127" s="97">
        <f t="shared" ca="1" si="6"/>
        <v>27</v>
      </c>
      <c r="G127" s="98" t="s">
        <v>283</v>
      </c>
      <c r="H127" s="99">
        <v>82760</v>
      </c>
      <c r="I127" s="100">
        <v>4</v>
      </c>
    </row>
    <row r="128" spans="1:9" ht="13.5" x14ac:dyDescent="0.25">
      <c r="A128" s="94" t="s">
        <v>391</v>
      </c>
      <c r="B128" s="95" t="s">
        <v>285</v>
      </c>
      <c r="C128" s="94" t="s">
        <v>391</v>
      </c>
      <c r="D128" s="94" t="s">
        <v>261</v>
      </c>
      <c r="E128" s="96">
        <v>32684</v>
      </c>
      <c r="F128" s="97">
        <f t="shared" ca="1" si="6"/>
        <v>27</v>
      </c>
      <c r="G128" s="98" t="s">
        <v>276</v>
      </c>
      <c r="H128" s="99">
        <v>18655</v>
      </c>
      <c r="I128" s="100">
        <v>4</v>
      </c>
    </row>
    <row r="129" spans="1:9" ht="13.5" x14ac:dyDescent="0.25">
      <c r="A129" s="94" t="s">
        <v>391</v>
      </c>
      <c r="B129" s="95" t="s">
        <v>245</v>
      </c>
      <c r="C129" s="94" t="s">
        <v>391</v>
      </c>
      <c r="D129" s="94" t="s">
        <v>247</v>
      </c>
      <c r="E129" s="96">
        <v>33840</v>
      </c>
      <c r="F129" s="97">
        <f t="shared" ca="1" si="6"/>
        <v>24</v>
      </c>
      <c r="G129" s="98"/>
      <c r="H129" s="99">
        <v>35260</v>
      </c>
      <c r="I129" s="100">
        <v>2</v>
      </c>
    </row>
    <row r="130" spans="1:9" ht="13.5" x14ac:dyDescent="0.25">
      <c r="A130" s="94" t="s">
        <v>391</v>
      </c>
      <c r="B130" s="95" t="s">
        <v>266</v>
      </c>
      <c r="C130" s="94" t="s">
        <v>391</v>
      </c>
      <c r="D130" s="94" t="s">
        <v>256</v>
      </c>
      <c r="E130" s="96">
        <v>34177</v>
      </c>
      <c r="F130" s="97">
        <f t="shared" ca="1" si="6"/>
        <v>23</v>
      </c>
      <c r="G130" s="98" t="s">
        <v>257</v>
      </c>
      <c r="H130" s="99">
        <v>80120</v>
      </c>
      <c r="I130" s="100">
        <v>4</v>
      </c>
    </row>
    <row r="131" spans="1:9" ht="13.5" x14ac:dyDescent="0.25">
      <c r="A131" s="94" t="s">
        <v>391</v>
      </c>
      <c r="B131" s="95" t="s">
        <v>285</v>
      </c>
      <c r="C131" s="94" t="s">
        <v>391</v>
      </c>
      <c r="D131" s="94" t="s">
        <v>252</v>
      </c>
      <c r="E131" s="96">
        <v>34363</v>
      </c>
      <c r="F131" s="97">
        <f t="shared" ca="1" si="6"/>
        <v>22</v>
      </c>
      <c r="G131" s="98"/>
      <c r="H131" s="99">
        <v>12676</v>
      </c>
      <c r="I131" s="100">
        <v>2</v>
      </c>
    </row>
    <row r="132" spans="1:9" ht="13.5" x14ac:dyDescent="0.25">
      <c r="A132" s="94" t="s">
        <v>391</v>
      </c>
      <c r="B132" s="95" t="s">
        <v>271</v>
      </c>
      <c r="C132" s="94" t="s">
        <v>391</v>
      </c>
      <c r="D132" s="94" t="s">
        <v>247</v>
      </c>
      <c r="E132" s="96">
        <v>34427</v>
      </c>
      <c r="F132" s="97">
        <f t="shared" ca="1" si="6"/>
        <v>22</v>
      </c>
      <c r="G132" s="98"/>
      <c r="H132" s="99">
        <v>76020</v>
      </c>
      <c r="I132" s="100">
        <v>1</v>
      </c>
    </row>
    <row r="133" spans="1:9" ht="13.5" x14ac:dyDescent="0.25">
      <c r="A133" s="94" t="s">
        <v>391</v>
      </c>
      <c r="B133" s="95" t="s">
        <v>271</v>
      </c>
      <c r="C133" s="94" t="s">
        <v>391</v>
      </c>
      <c r="D133" s="94" t="s">
        <v>247</v>
      </c>
      <c r="E133" s="96">
        <v>34649</v>
      </c>
      <c r="F133" s="97">
        <f t="shared" ca="1" si="6"/>
        <v>21</v>
      </c>
      <c r="G133" s="98"/>
      <c r="H133" s="99">
        <v>64470</v>
      </c>
      <c r="I133" s="100">
        <v>3</v>
      </c>
    </row>
    <row r="134" spans="1:9" ht="13.5" x14ac:dyDescent="0.25">
      <c r="A134" s="94" t="s">
        <v>391</v>
      </c>
      <c r="B134" s="95" t="s">
        <v>271</v>
      </c>
      <c r="C134" s="94" t="s">
        <v>391</v>
      </c>
      <c r="D134" s="94" t="s">
        <v>256</v>
      </c>
      <c r="E134" s="96">
        <v>34767</v>
      </c>
      <c r="F134" s="97">
        <f t="shared" ca="1" si="6"/>
        <v>21</v>
      </c>
      <c r="G134" s="98" t="s">
        <v>283</v>
      </c>
      <c r="H134" s="99">
        <v>50110</v>
      </c>
      <c r="I134" s="100">
        <v>1</v>
      </c>
    </row>
    <row r="135" spans="1:9" ht="13.5" x14ac:dyDescent="0.25">
      <c r="A135" s="94" t="s">
        <v>391</v>
      </c>
      <c r="B135" s="95" t="s">
        <v>251</v>
      </c>
      <c r="C135" s="94" t="s">
        <v>391</v>
      </c>
      <c r="D135" s="94" t="s">
        <v>247</v>
      </c>
      <c r="E135" s="96">
        <v>34866</v>
      </c>
      <c r="F135" s="97">
        <f t="shared" ca="1" si="6"/>
        <v>21</v>
      </c>
      <c r="G135" s="98"/>
      <c r="H135" s="99">
        <v>32940</v>
      </c>
      <c r="I135" s="100">
        <v>5</v>
      </c>
    </row>
    <row r="136" spans="1:9" ht="13.5" x14ac:dyDescent="0.25">
      <c r="A136" s="94" t="s">
        <v>391</v>
      </c>
      <c r="B136" s="95" t="s">
        <v>285</v>
      </c>
      <c r="C136" s="94" t="s">
        <v>391</v>
      </c>
      <c r="D136" s="94" t="s">
        <v>256</v>
      </c>
      <c r="E136" s="96">
        <v>34959</v>
      </c>
      <c r="F136" s="97">
        <f t="shared" ca="1" si="6"/>
        <v>21</v>
      </c>
      <c r="G136" s="98" t="s">
        <v>283</v>
      </c>
      <c r="H136" s="99">
        <v>61330</v>
      </c>
      <c r="I136" s="100">
        <v>1</v>
      </c>
    </row>
    <row r="137" spans="1:9" ht="13.5" x14ac:dyDescent="0.25">
      <c r="A137" s="94" t="s">
        <v>391</v>
      </c>
      <c r="B137" s="95" t="s">
        <v>266</v>
      </c>
      <c r="C137" s="94" t="s">
        <v>391</v>
      </c>
      <c r="D137" s="94" t="s">
        <v>247</v>
      </c>
      <c r="E137" s="96">
        <v>35032</v>
      </c>
      <c r="F137" s="97">
        <f t="shared" ca="1" si="6"/>
        <v>20</v>
      </c>
      <c r="G137" s="98"/>
      <c r="H137" s="99">
        <v>86970</v>
      </c>
      <c r="I137" s="100">
        <v>4</v>
      </c>
    </row>
    <row r="138" spans="1:9" ht="13.5" x14ac:dyDescent="0.25">
      <c r="A138" s="94" t="s">
        <v>391</v>
      </c>
      <c r="B138" s="95" t="s">
        <v>271</v>
      </c>
      <c r="C138" s="94" t="s">
        <v>391</v>
      </c>
      <c r="D138" s="94" t="s">
        <v>261</v>
      </c>
      <c r="E138" s="96">
        <v>35047</v>
      </c>
      <c r="F138" s="97">
        <f t="shared" ca="1" si="6"/>
        <v>20</v>
      </c>
      <c r="G138" s="98" t="s">
        <v>276</v>
      </c>
      <c r="H138" s="99">
        <v>42905</v>
      </c>
      <c r="I138" s="100">
        <v>1</v>
      </c>
    </row>
    <row r="139" spans="1:9" ht="13.5" x14ac:dyDescent="0.25">
      <c r="A139" s="94" t="s">
        <v>391</v>
      </c>
      <c r="B139" s="95" t="s">
        <v>271</v>
      </c>
      <c r="C139" s="94" t="s">
        <v>391</v>
      </c>
      <c r="D139" s="94" t="s">
        <v>256</v>
      </c>
      <c r="E139" s="96">
        <v>35803</v>
      </c>
      <c r="F139" s="97">
        <f t="shared" ca="1" si="6"/>
        <v>18</v>
      </c>
      <c r="G139" s="98" t="s">
        <v>267</v>
      </c>
      <c r="H139" s="99">
        <v>61150</v>
      </c>
      <c r="I139" s="100">
        <v>4</v>
      </c>
    </row>
    <row r="140" spans="1:9" ht="13.5" x14ac:dyDescent="0.25">
      <c r="A140" s="94" t="s">
        <v>391</v>
      </c>
      <c r="B140" s="95" t="s">
        <v>266</v>
      </c>
      <c r="C140" s="94" t="s">
        <v>391</v>
      </c>
      <c r="D140" s="94" t="s">
        <v>256</v>
      </c>
      <c r="E140" s="96">
        <v>36302</v>
      </c>
      <c r="F140" s="97">
        <f t="shared" ca="1" si="6"/>
        <v>17</v>
      </c>
      <c r="G140" s="98" t="s">
        <v>267</v>
      </c>
      <c r="H140" s="99">
        <v>39740</v>
      </c>
      <c r="I140" s="100">
        <v>1</v>
      </c>
    </row>
    <row r="141" spans="1:9" ht="13.5" x14ac:dyDescent="0.25">
      <c r="A141" s="94" t="s">
        <v>391</v>
      </c>
      <c r="B141" s="95" t="s">
        <v>280</v>
      </c>
      <c r="C141" s="94" t="s">
        <v>391</v>
      </c>
      <c r="D141" s="94" t="s">
        <v>247</v>
      </c>
      <c r="E141" s="96">
        <v>36357</v>
      </c>
      <c r="F141" s="97">
        <f t="shared" ca="1" si="6"/>
        <v>17</v>
      </c>
      <c r="G141" s="98"/>
      <c r="H141" s="99">
        <v>73390</v>
      </c>
      <c r="I141" s="100">
        <v>2</v>
      </c>
    </row>
    <row r="142" spans="1:9" ht="13.5" x14ac:dyDescent="0.25">
      <c r="A142" s="101" t="s">
        <v>1043</v>
      </c>
      <c r="B142" s="95"/>
      <c r="C142" s="101"/>
      <c r="D142" s="94"/>
      <c r="E142" s="96"/>
      <c r="F142" s="97"/>
      <c r="G142" s="98"/>
      <c r="H142" s="99"/>
      <c r="I142" s="100"/>
    </row>
    <row r="143" spans="1:9" ht="13.5" x14ac:dyDescent="0.25">
      <c r="A143" s="94" t="s">
        <v>411</v>
      </c>
      <c r="B143" s="95" t="s">
        <v>271</v>
      </c>
      <c r="C143" s="94" t="s">
        <v>411</v>
      </c>
      <c r="D143" s="94" t="s">
        <v>256</v>
      </c>
      <c r="E143" s="96">
        <v>34019</v>
      </c>
      <c r="F143" s="97">
        <f t="shared" ref="F143:F148" ca="1" si="7">DATEDIF(E143,TODAY(),"Y")</f>
        <v>23</v>
      </c>
      <c r="G143" s="98" t="s">
        <v>257</v>
      </c>
      <c r="H143" s="99">
        <v>66740</v>
      </c>
      <c r="I143" s="100">
        <v>2</v>
      </c>
    </row>
    <row r="144" spans="1:9" ht="13.5" x14ac:dyDescent="0.25">
      <c r="A144" s="94" t="s">
        <v>411</v>
      </c>
      <c r="B144" s="95" t="s">
        <v>271</v>
      </c>
      <c r="C144" s="94" t="s">
        <v>411</v>
      </c>
      <c r="D144" s="94" t="s">
        <v>256</v>
      </c>
      <c r="E144" s="96">
        <v>34019</v>
      </c>
      <c r="F144" s="97">
        <f t="shared" ca="1" si="7"/>
        <v>23</v>
      </c>
      <c r="G144" s="98" t="s">
        <v>257</v>
      </c>
      <c r="H144" s="99">
        <v>66740</v>
      </c>
      <c r="I144" s="100">
        <v>2</v>
      </c>
    </row>
    <row r="145" spans="1:9" ht="13.5" x14ac:dyDescent="0.25">
      <c r="A145" s="94" t="s">
        <v>411</v>
      </c>
      <c r="B145" s="95" t="s">
        <v>245</v>
      </c>
      <c r="C145" s="94" t="s">
        <v>411</v>
      </c>
      <c r="D145" s="94" t="s">
        <v>256</v>
      </c>
      <c r="E145" s="96">
        <v>35259</v>
      </c>
      <c r="F145" s="97">
        <f t="shared" ca="1" si="7"/>
        <v>20</v>
      </c>
      <c r="G145" s="98" t="s">
        <v>283</v>
      </c>
      <c r="H145" s="99">
        <v>75060</v>
      </c>
      <c r="I145" s="100">
        <v>5</v>
      </c>
    </row>
    <row r="146" spans="1:9" ht="13.5" x14ac:dyDescent="0.25">
      <c r="A146" s="94" t="s">
        <v>411</v>
      </c>
      <c r="B146" s="95" t="s">
        <v>285</v>
      </c>
      <c r="C146" s="94" t="s">
        <v>411</v>
      </c>
      <c r="D146" s="94" t="s">
        <v>247</v>
      </c>
      <c r="E146" s="96">
        <v>37217</v>
      </c>
      <c r="F146" s="97">
        <f t="shared" ca="1" si="7"/>
        <v>14</v>
      </c>
      <c r="G146" s="98"/>
      <c r="H146" s="99">
        <v>60060</v>
      </c>
      <c r="I146" s="100">
        <v>2</v>
      </c>
    </row>
    <row r="147" spans="1:9" ht="13.5" x14ac:dyDescent="0.25">
      <c r="A147" s="94" t="s">
        <v>411</v>
      </c>
      <c r="B147" s="95" t="s">
        <v>285</v>
      </c>
      <c r="C147" s="94" t="s">
        <v>411</v>
      </c>
      <c r="D147" s="94" t="s">
        <v>256</v>
      </c>
      <c r="E147" s="96">
        <v>37277</v>
      </c>
      <c r="F147" s="97">
        <f t="shared" ca="1" si="7"/>
        <v>14</v>
      </c>
      <c r="G147" s="98" t="s">
        <v>257</v>
      </c>
      <c r="H147" s="99">
        <v>47350</v>
      </c>
      <c r="I147" s="100">
        <v>5</v>
      </c>
    </row>
    <row r="148" spans="1:9" ht="13.5" x14ac:dyDescent="0.25">
      <c r="A148" s="94" t="s">
        <v>411</v>
      </c>
      <c r="B148" s="95" t="s">
        <v>245</v>
      </c>
      <c r="C148" s="94" t="s">
        <v>411</v>
      </c>
      <c r="D148" s="94" t="s">
        <v>256</v>
      </c>
      <c r="E148" s="102">
        <v>39090</v>
      </c>
      <c r="F148" s="97">
        <f t="shared" ca="1" si="7"/>
        <v>9</v>
      </c>
      <c r="G148" s="98" t="s">
        <v>283</v>
      </c>
      <c r="H148" s="99">
        <v>79150</v>
      </c>
      <c r="I148" s="100">
        <v>2</v>
      </c>
    </row>
    <row r="149" spans="1:9" ht="13.5" x14ac:dyDescent="0.25">
      <c r="A149" s="101" t="s">
        <v>1044</v>
      </c>
      <c r="B149" s="95"/>
      <c r="C149" s="101"/>
      <c r="D149" s="94"/>
      <c r="E149" s="102"/>
      <c r="F149" s="97"/>
      <c r="G149" s="98"/>
      <c r="H149" s="99"/>
      <c r="I149" s="100"/>
    </row>
    <row r="150" spans="1:9" ht="13.5" x14ac:dyDescent="0.25">
      <c r="A150" s="94" t="s">
        <v>417</v>
      </c>
      <c r="B150" s="95" t="s">
        <v>280</v>
      </c>
      <c r="C150" s="94" t="s">
        <v>417</v>
      </c>
      <c r="D150" s="94" t="s">
        <v>256</v>
      </c>
      <c r="E150" s="96">
        <v>31769</v>
      </c>
      <c r="F150" s="97">
        <f t="shared" ref="F150:F188" ca="1" si="8">DATEDIF(E150,TODAY(),"Y")</f>
        <v>29</v>
      </c>
      <c r="G150" s="98" t="s">
        <v>276</v>
      </c>
      <c r="H150" s="99">
        <v>32360</v>
      </c>
      <c r="I150" s="100">
        <v>4</v>
      </c>
    </row>
    <row r="151" spans="1:9" ht="13.5" x14ac:dyDescent="0.25">
      <c r="A151" s="94" t="s">
        <v>417</v>
      </c>
      <c r="B151" s="95" t="s">
        <v>271</v>
      </c>
      <c r="C151" s="94" t="s">
        <v>417</v>
      </c>
      <c r="D151" s="94" t="s">
        <v>256</v>
      </c>
      <c r="E151" s="96">
        <v>31807</v>
      </c>
      <c r="F151" s="97">
        <f t="shared" ca="1" si="8"/>
        <v>29</v>
      </c>
      <c r="G151" s="98" t="s">
        <v>267</v>
      </c>
      <c r="H151" s="99">
        <v>35360</v>
      </c>
      <c r="I151" s="100">
        <v>5</v>
      </c>
    </row>
    <row r="152" spans="1:9" ht="13.5" x14ac:dyDescent="0.25">
      <c r="A152" s="94" t="s">
        <v>417</v>
      </c>
      <c r="B152" s="95" t="s">
        <v>271</v>
      </c>
      <c r="C152" s="94" t="s">
        <v>417</v>
      </c>
      <c r="D152" s="94" t="s">
        <v>256</v>
      </c>
      <c r="E152" s="96">
        <v>32095</v>
      </c>
      <c r="F152" s="97">
        <f t="shared" ca="1" si="8"/>
        <v>28</v>
      </c>
      <c r="G152" s="98" t="s">
        <v>283</v>
      </c>
      <c r="H152" s="99">
        <v>32140</v>
      </c>
      <c r="I152" s="100">
        <v>2</v>
      </c>
    </row>
    <row r="153" spans="1:9" ht="13.5" x14ac:dyDescent="0.25">
      <c r="A153" s="94" t="s">
        <v>417</v>
      </c>
      <c r="B153" s="95" t="s">
        <v>285</v>
      </c>
      <c r="C153" s="94" t="s">
        <v>417</v>
      </c>
      <c r="D153" s="94" t="s">
        <v>247</v>
      </c>
      <c r="E153" s="96">
        <v>32114</v>
      </c>
      <c r="F153" s="97">
        <f t="shared" ca="1" si="8"/>
        <v>28</v>
      </c>
      <c r="G153" s="98"/>
      <c r="H153" s="99">
        <v>22320</v>
      </c>
      <c r="I153" s="100">
        <v>2</v>
      </c>
    </row>
    <row r="154" spans="1:9" ht="13.5" x14ac:dyDescent="0.25">
      <c r="A154" s="94" t="s">
        <v>417</v>
      </c>
      <c r="B154" s="95" t="s">
        <v>245</v>
      </c>
      <c r="C154" s="94" t="s">
        <v>417</v>
      </c>
      <c r="D154" s="94" t="s">
        <v>261</v>
      </c>
      <c r="E154" s="96">
        <v>32399</v>
      </c>
      <c r="F154" s="97">
        <f t="shared" ca="1" si="8"/>
        <v>28</v>
      </c>
      <c r="G154" s="98" t="s">
        <v>257</v>
      </c>
      <c r="H154" s="99">
        <v>34110</v>
      </c>
      <c r="I154" s="100">
        <v>4</v>
      </c>
    </row>
    <row r="155" spans="1:9" ht="13.5" x14ac:dyDescent="0.25">
      <c r="A155" s="94" t="s">
        <v>417</v>
      </c>
      <c r="B155" s="95" t="s">
        <v>280</v>
      </c>
      <c r="C155" s="94" t="s">
        <v>417</v>
      </c>
      <c r="D155" s="94" t="s">
        <v>256</v>
      </c>
      <c r="E155" s="96">
        <v>32562</v>
      </c>
      <c r="F155" s="97">
        <f t="shared" ca="1" si="8"/>
        <v>27</v>
      </c>
      <c r="G155" s="98" t="s">
        <v>257</v>
      </c>
      <c r="H155" s="99">
        <v>64510</v>
      </c>
      <c r="I155" s="100">
        <v>3</v>
      </c>
    </row>
    <row r="156" spans="1:9" ht="13.5" x14ac:dyDescent="0.25">
      <c r="A156" s="94" t="s">
        <v>417</v>
      </c>
      <c r="B156" s="95" t="s">
        <v>251</v>
      </c>
      <c r="C156" s="94" t="s">
        <v>417</v>
      </c>
      <c r="D156" s="94" t="s">
        <v>256</v>
      </c>
      <c r="E156" s="96">
        <v>32613</v>
      </c>
      <c r="F156" s="97">
        <f t="shared" ca="1" si="8"/>
        <v>27</v>
      </c>
      <c r="G156" s="98" t="s">
        <v>283</v>
      </c>
      <c r="H156" s="99">
        <v>46340</v>
      </c>
      <c r="I156" s="100">
        <v>5</v>
      </c>
    </row>
    <row r="157" spans="1:9" ht="13.5" x14ac:dyDescent="0.25">
      <c r="A157" s="94" t="s">
        <v>417</v>
      </c>
      <c r="B157" s="95" t="s">
        <v>251</v>
      </c>
      <c r="C157" s="94" t="s">
        <v>417</v>
      </c>
      <c r="D157" s="94" t="s">
        <v>256</v>
      </c>
      <c r="E157" s="96">
        <v>32613</v>
      </c>
      <c r="F157" s="97">
        <f t="shared" ca="1" si="8"/>
        <v>27</v>
      </c>
      <c r="G157" s="98" t="s">
        <v>283</v>
      </c>
      <c r="H157" s="99">
        <v>46340</v>
      </c>
      <c r="I157" s="100">
        <v>5</v>
      </c>
    </row>
    <row r="158" spans="1:9" ht="13.5" x14ac:dyDescent="0.25">
      <c r="A158" s="94" t="s">
        <v>417</v>
      </c>
      <c r="B158" s="95" t="s">
        <v>271</v>
      </c>
      <c r="C158" s="94" t="s">
        <v>417</v>
      </c>
      <c r="D158" s="94" t="s">
        <v>247</v>
      </c>
      <c r="E158" s="96">
        <v>32639</v>
      </c>
      <c r="F158" s="97">
        <f t="shared" ca="1" si="8"/>
        <v>27</v>
      </c>
      <c r="G158" s="98"/>
      <c r="H158" s="99">
        <v>81070</v>
      </c>
      <c r="I158" s="100">
        <v>5</v>
      </c>
    </row>
    <row r="159" spans="1:9" ht="13.5" x14ac:dyDescent="0.25">
      <c r="A159" s="94" t="s">
        <v>417</v>
      </c>
      <c r="B159" s="95" t="s">
        <v>285</v>
      </c>
      <c r="C159" s="94" t="s">
        <v>417</v>
      </c>
      <c r="D159" s="94" t="s">
        <v>256</v>
      </c>
      <c r="E159" s="96">
        <v>32776</v>
      </c>
      <c r="F159" s="97">
        <f t="shared" ca="1" si="8"/>
        <v>27</v>
      </c>
      <c r="G159" s="98" t="s">
        <v>257</v>
      </c>
      <c r="H159" s="99">
        <v>31840</v>
      </c>
      <c r="I159" s="100">
        <v>1</v>
      </c>
    </row>
    <row r="160" spans="1:9" ht="13.5" x14ac:dyDescent="0.25">
      <c r="A160" s="94" t="s">
        <v>417</v>
      </c>
      <c r="B160" s="95" t="s">
        <v>245</v>
      </c>
      <c r="C160" s="94" t="s">
        <v>417</v>
      </c>
      <c r="D160" s="94" t="s">
        <v>247</v>
      </c>
      <c r="E160" s="96">
        <v>32851</v>
      </c>
      <c r="F160" s="97">
        <f t="shared" ca="1" si="8"/>
        <v>26</v>
      </c>
      <c r="G160" s="98"/>
      <c r="H160" s="99">
        <v>64090</v>
      </c>
      <c r="I160" s="100">
        <v>2</v>
      </c>
    </row>
    <row r="161" spans="1:9" ht="13.5" x14ac:dyDescent="0.25">
      <c r="A161" s="94" t="s">
        <v>417</v>
      </c>
      <c r="B161" s="95" t="s">
        <v>271</v>
      </c>
      <c r="C161" s="94" t="s">
        <v>417</v>
      </c>
      <c r="D161" s="94" t="s">
        <v>256</v>
      </c>
      <c r="E161" s="96">
        <v>32903</v>
      </c>
      <c r="F161" s="97">
        <f t="shared" ca="1" si="8"/>
        <v>26</v>
      </c>
      <c r="G161" s="98" t="s">
        <v>257</v>
      </c>
      <c r="H161" s="99">
        <v>72900</v>
      </c>
      <c r="I161" s="100">
        <v>3</v>
      </c>
    </row>
    <row r="162" spans="1:9" ht="13.5" x14ac:dyDescent="0.25">
      <c r="A162" s="94" t="s">
        <v>417</v>
      </c>
      <c r="B162" s="95" t="s">
        <v>285</v>
      </c>
      <c r="C162" s="94" t="s">
        <v>417</v>
      </c>
      <c r="D162" s="94" t="s">
        <v>261</v>
      </c>
      <c r="E162" s="96">
        <v>33445</v>
      </c>
      <c r="F162" s="97">
        <f t="shared" ca="1" si="8"/>
        <v>25</v>
      </c>
      <c r="G162" s="98" t="s">
        <v>267</v>
      </c>
      <c r="H162" s="99">
        <v>15005</v>
      </c>
      <c r="I162" s="100">
        <v>4</v>
      </c>
    </row>
    <row r="163" spans="1:9" ht="13.5" x14ac:dyDescent="0.25">
      <c r="A163" s="94" t="s">
        <v>417</v>
      </c>
      <c r="B163" s="95" t="s">
        <v>245</v>
      </c>
      <c r="C163" s="94" t="s">
        <v>417</v>
      </c>
      <c r="D163" s="94" t="s">
        <v>247</v>
      </c>
      <c r="E163" s="96">
        <v>33451</v>
      </c>
      <c r="F163" s="97">
        <f t="shared" ca="1" si="8"/>
        <v>25</v>
      </c>
      <c r="G163" s="98"/>
      <c r="H163" s="99">
        <v>45040</v>
      </c>
      <c r="I163" s="100">
        <v>5</v>
      </c>
    </row>
    <row r="164" spans="1:9" ht="13.5" x14ac:dyDescent="0.25">
      <c r="A164" s="94" t="s">
        <v>417</v>
      </c>
      <c r="B164" s="95" t="s">
        <v>271</v>
      </c>
      <c r="C164" s="94" t="s">
        <v>417</v>
      </c>
      <c r="D164" s="94" t="s">
        <v>247</v>
      </c>
      <c r="E164" s="96">
        <v>33461</v>
      </c>
      <c r="F164" s="97">
        <f t="shared" ca="1" si="8"/>
        <v>25</v>
      </c>
      <c r="G164" s="98"/>
      <c r="H164" s="99">
        <v>26360</v>
      </c>
      <c r="I164" s="100">
        <v>4</v>
      </c>
    </row>
    <row r="165" spans="1:9" ht="13.5" x14ac:dyDescent="0.25">
      <c r="A165" s="94" t="s">
        <v>417</v>
      </c>
      <c r="B165" s="95" t="s">
        <v>285</v>
      </c>
      <c r="C165" s="94" t="s">
        <v>417</v>
      </c>
      <c r="D165" s="94" t="s">
        <v>247</v>
      </c>
      <c r="E165" s="96">
        <v>33602</v>
      </c>
      <c r="F165" s="97">
        <f t="shared" ca="1" si="8"/>
        <v>24</v>
      </c>
      <c r="G165" s="98"/>
      <c r="H165" s="99">
        <v>40560</v>
      </c>
      <c r="I165" s="100">
        <v>5</v>
      </c>
    </row>
    <row r="166" spans="1:9" ht="13.5" x14ac:dyDescent="0.25">
      <c r="A166" s="94" t="s">
        <v>417</v>
      </c>
      <c r="B166" s="95" t="s">
        <v>285</v>
      </c>
      <c r="C166" s="94" t="s">
        <v>417</v>
      </c>
      <c r="D166" s="94" t="s">
        <v>261</v>
      </c>
      <c r="E166" s="96">
        <v>33760</v>
      </c>
      <c r="F166" s="97">
        <f t="shared" ca="1" si="8"/>
        <v>24</v>
      </c>
      <c r="G166" s="98" t="s">
        <v>276</v>
      </c>
      <c r="H166" s="99">
        <v>21220</v>
      </c>
      <c r="I166" s="100">
        <v>3</v>
      </c>
    </row>
    <row r="167" spans="1:9" ht="13.5" x14ac:dyDescent="0.25">
      <c r="A167" s="94" t="s">
        <v>417</v>
      </c>
      <c r="B167" s="95" t="s">
        <v>271</v>
      </c>
      <c r="C167" s="94" t="s">
        <v>417</v>
      </c>
      <c r="D167" s="94" t="s">
        <v>256</v>
      </c>
      <c r="E167" s="96">
        <v>33774</v>
      </c>
      <c r="F167" s="97">
        <f t="shared" ca="1" si="8"/>
        <v>24</v>
      </c>
      <c r="G167" s="98" t="s">
        <v>276</v>
      </c>
      <c r="H167" s="99">
        <v>49260</v>
      </c>
      <c r="I167" s="100">
        <v>3</v>
      </c>
    </row>
    <row r="168" spans="1:9" ht="13.5" x14ac:dyDescent="0.25">
      <c r="A168" s="94" t="s">
        <v>417</v>
      </c>
      <c r="B168" s="95" t="s">
        <v>285</v>
      </c>
      <c r="C168" s="94" t="s">
        <v>417</v>
      </c>
      <c r="D168" s="94" t="s">
        <v>261</v>
      </c>
      <c r="E168" s="96">
        <v>33876</v>
      </c>
      <c r="F168" s="97">
        <f t="shared" ca="1" si="8"/>
        <v>24</v>
      </c>
      <c r="G168" s="98" t="s">
        <v>276</v>
      </c>
      <c r="H168" s="99">
        <v>32835</v>
      </c>
      <c r="I168" s="100">
        <v>2</v>
      </c>
    </row>
    <row r="169" spans="1:9" ht="13.5" x14ac:dyDescent="0.25">
      <c r="A169" s="94" t="s">
        <v>417</v>
      </c>
      <c r="B169" s="95" t="s">
        <v>285</v>
      </c>
      <c r="C169" s="94" t="s">
        <v>417</v>
      </c>
      <c r="D169" s="94" t="s">
        <v>256</v>
      </c>
      <c r="E169" s="96">
        <v>33943</v>
      </c>
      <c r="F169" s="97">
        <f t="shared" ca="1" si="8"/>
        <v>23</v>
      </c>
      <c r="G169" s="98" t="s">
        <v>257</v>
      </c>
      <c r="H169" s="99">
        <v>63780</v>
      </c>
      <c r="I169" s="100">
        <v>5</v>
      </c>
    </row>
    <row r="170" spans="1:9" ht="13.5" x14ac:dyDescent="0.25">
      <c r="A170" s="94" t="s">
        <v>417</v>
      </c>
      <c r="B170" s="95" t="s">
        <v>285</v>
      </c>
      <c r="C170" s="94" t="s">
        <v>417</v>
      </c>
      <c r="D170" s="94" t="s">
        <v>256</v>
      </c>
      <c r="E170" s="96">
        <v>34191</v>
      </c>
      <c r="F170" s="97">
        <f t="shared" ca="1" si="8"/>
        <v>23</v>
      </c>
      <c r="G170" s="98" t="s">
        <v>283</v>
      </c>
      <c r="H170" s="99">
        <v>37750</v>
      </c>
      <c r="I170" s="100">
        <v>5</v>
      </c>
    </row>
    <row r="171" spans="1:9" ht="13.5" x14ac:dyDescent="0.25">
      <c r="A171" s="94" t="s">
        <v>417</v>
      </c>
      <c r="B171" s="95" t="s">
        <v>271</v>
      </c>
      <c r="C171" s="94" t="s">
        <v>417</v>
      </c>
      <c r="D171" s="94" t="s">
        <v>256</v>
      </c>
      <c r="E171" s="96">
        <v>34295</v>
      </c>
      <c r="F171" s="97">
        <f t="shared" ca="1" si="8"/>
        <v>22</v>
      </c>
      <c r="G171" s="98" t="s">
        <v>283</v>
      </c>
      <c r="H171" s="99">
        <v>56870</v>
      </c>
      <c r="I171" s="100">
        <v>1</v>
      </c>
    </row>
    <row r="172" spans="1:9" ht="13.5" x14ac:dyDescent="0.25">
      <c r="A172" s="94" t="s">
        <v>417</v>
      </c>
      <c r="B172" s="95" t="s">
        <v>271</v>
      </c>
      <c r="C172" s="94" t="s">
        <v>417</v>
      </c>
      <c r="D172" s="94" t="s">
        <v>247</v>
      </c>
      <c r="E172" s="96">
        <v>34629</v>
      </c>
      <c r="F172" s="97">
        <f t="shared" ca="1" si="8"/>
        <v>22</v>
      </c>
      <c r="G172" s="98"/>
      <c r="H172" s="99">
        <v>25120</v>
      </c>
      <c r="I172" s="100">
        <v>5</v>
      </c>
    </row>
    <row r="173" spans="1:9" ht="13.5" x14ac:dyDescent="0.25">
      <c r="A173" s="94" t="s">
        <v>417</v>
      </c>
      <c r="B173" s="95" t="s">
        <v>251</v>
      </c>
      <c r="C173" s="94" t="s">
        <v>417</v>
      </c>
      <c r="D173" s="94" t="s">
        <v>256</v>
      </c>
      <c r="E173" s="96">
        <v>34679</v>
      </c>
      <c r="F173" s="97">
        <f t="shared" ca="1" si="8"/>
        <v>21</v>
      </c>
      <c r="G173" s="98" t="s">
        <v>262</v>
      </c>
      <c r="H173" s="99">
        <v>71010</v>
      </c>
      <c r="I173" s="100">
        <v>5</v>
      </c>
    </row>
    <row r="174" spans="1:9" ht="13.5" x14ac:dyDescent="0.25">
      <c r="A174" s="94" t="s">
        <v>417</v>
      </c>
      <c r="B174" s="95" t="s">
        <v>251</v>
      </c>
      <c r="C174" s="94" t="s">
        <v>417</v>
      </c>
      <c r="D174" s="94" t="s">
        <v>256</v>
      </c>
      <c r="E174" s="96">
        <v>34772</v>
      </c>
      <c r="F174" s="97">
        <f t="shared" ca="1" si="8"/>
        <v>21</v>
      </c>
      <c r="G174" s="98" t="s">
        <v>283</v>
      </c>
      <c r="H174" s="99">
        <v>82400</v>
      </c>
      <c r="I174" s="100">
        <v>2</v>
      </c>
    </row>
    <row r="175" spans="1:9" ht="13.5" x14ac:dyDescent="0.25">
      <c r="A175" s="94" t="s">
        <v>417</v>
      </c>
      <c r="B175" s="95" t="s">
        <v>280</v>
      </c>
      <c r="C175" s="94" t="s">
        <v>417</v>
      </c>
      <c r="D175" s="94" t="s">
        <v>252</v>
      </c>
      <c r="E175" s="96">
        <v>34953</v>
      </c>
      <c r="F175" s="97">
        <f t="shared" ca="1" si="8"/>
        <v>21</v>
      </c>
      <c r="G175" s="98"/>
      <c r="H175" s="99">
        <v>38768</v>
      </c>
      <c r="I175" s="100">
        <v>4</v>
      </c>
    </row>
    <row r="176" spans="1:9" ht="13.5" x14ac:dyDescent="0.25">
      <c r="A176" s="94" t="s">
        <v>417</v>
      </c>
      <c r="B176" s="95" t="s">
        <v>280</v>
      </c>
      <c r="C176" s="94" t="s">
        <v>417</v>
      </c>
      <c r="D176" s="94" t="s">
        <v>256</v>
      </c>
      <c r="E176" s="96">
        <v>35104</v>
      </c>
      <c r="F176" s="97">
        <f t="shared" ca="1" si="8"/>
        <v>20</v>
      </c>
      <c r="G176" s="98" t="s">
        <v>276</v>
      </c>
      <c r="H176" s="99">
        <v>39680</v>
      </c>
      <c r="I176" s="100">
        <v>5</v>
      </c>
    </row>
    <row r="177" spans="1:9" ht="13.5" x14ac:dyDescent="0.25">
      <c r="A177" s="94" t="s">
        <v>417</v>
      </c>
      <c r="B177" s="95" t="s">
        <v>245</v>
      </c>
      <c r="C177" s="94" t="s">
        <v>417</v>
      </c>
      <c r="D177" s="94" t="s">
        <v>256</v>
      </c>
      <c r="E177" s="96">
        <v>35333</v>
      </c>
      <c r="F177" s="97">
        <f t="shared" ca="1" si="8"/>
        <v>20</v>
      </c>
      <c r="G177" s="98" t="s">
        <v>283</v>
      </c>
      <c r="H177" s="99">
        <v>71380</v>
      </c>
      <c r="I177" s="100">
        <v>2</v>
      </c>
    </row>
    <row r="178" spans="1:9" ht="13.5" x14ac:dyDescent="0.25">
      <c r="A178" s="94" t="s">
        <v>417</v>
      </c>
      <c r="B178" s="95" t="s">
        <v>271</v>
      </c>
      <c r="C178" s="94" t="s">
        <v>417</v>
      </c>
      <c r="D178" s="94" t="s">
        <v>256</v>
      </c>
      <c r="E178" s="96">
        <v>35978</v>
      </c>
      <c r="F178" s="97">
        <f t="shared" ca="1" si="8"/>
        <v>18</v>
      </c>
      <c r="G178" s="98" t="s">
        <v>257</v>
      </c>
      <c r="H178" s="99">
        <v>42480</v>
      </c>
      <c r="I178" s="100">
        <v>3</v>
      </c>
    </row>
    <row r="179" spans="1:9" ht="13.5" x14ac:dyDescent="0.25">
      <c r="A179" s="94" t="s">
        <v>417</v>
      </c>
      <c r="B179" s="95" t="s">
        <v>285</v>
      </c>
      <c r="C179" s="94" t="s">
        <v>417</v>
      </c>
      <c r="D179" s="94" t="s">
        <v>247</v>
      </c>
      <c r="E179" s="96">
        <v>36331</v>
      </c>
      <c r="F179" s="97">
        <f t="shared" ca="1" si="8"/>
        <v>17</v>
      </c>
      <c r="G179" s="98"/>
      <c r="H179" s="99">
        <v>31970</v>
      </c>
      <c r="I179" s="100">
        <v>5</v>
      </c>
    </row>
    <row r="180" spans="1:9" ht="13.5" x14ac:dyDescent="0.25">
      <c r="A180" s="94" t="s">
        <v>417</v>
      </c>
      <c r="B180" s="95" t="s">
        <v>285</v>
      </c>
      <c r="C180" s="94" t="s">
        <v>417</v>
      </c>
      <c r="D180" s="94" t="s">
        <v>256</v>
      </c>
      <c r="E180" s="96">
        <v>36825</v>
      </c>
      <c r="F180" s="97">
        <f t="shared" ca="1" si="8"/>
        <v>16</v>
      </c>
      <c r="G180" s="98" t="s">
        <v>267</v>
      </c>
      <c r="H180" s="99">
        <v>65560</v>
      </c>
      <c r="I180" s="100">
        <v>1</v>
      </c>
    </row>
    <row r="181" spans="1:9" ht="13.5" x14ac:dyDescent="0.25">
      <c r="A181" s="94" t="s">
        <v>417</v>
      </c>
      <c r="B181" s="95" t="s">
        <v>285</v>
      </c>
      <c r="C181" s="94" t="s">
        <v>417</v>
      </c>
      <c r="D181" s="94" t="s">
        <v>256</v>
      </c>
      <c r="E181" s="96">
        <v>37443</v>
      </c>
      <c r="F181" s="97">
        <f t="shared" ca="1" si="8"/>
        <v>14</v>
      </c>
      <c r="G181" s="98" t="s">
        <v>257</v>
      </c>
      <c r="H181" s="99">
        <v>22410</v>
      </c>
      <c r="I181" s="100">
        <v>4</v>
      </c>
    </row>
    <row r="182" spans="1:9" ht="13.5" x14ac:dyDescent="0.25">
      <c r="A182" s="94" t="s">
        <v>417</v>
      </c>
      <c r="B182" s="95" t="s">
        <v>271</v>
      </c>
      <c r="C182" s="94" t="s">
        <v>417</v>
      </c>
      <c r="D182" s="94" t="s">
        <v>261</v>
      </c>
      <c r="E182" s="96">
        <v>38458</v>
      </c>
      <c r="F182" s="97">
        <f t="shared" ca="1" si="8"/>
        <v>11</v>
      </c>
      <c r="G182" s="98" t="s">
        <v>257</v>
      </c>
      <c r="H182" s="99">
        <v>39515</v>
      </c>
      <c r="I182" s="100">
        <v>5</v>
      </c>
    </row>
    <row r="183" spans="1:9" ht="13.5" x14ac:dyDescent="0.25">
      <c r="A183" s="94" t="s">
        <v>417</v>
      </c>
      <c r="B183" s="95" t="s">
        <v>271</v>
      </c>
      <c r="C183" s="94" t="s">
        <v>417</v>
      </c>
      <c r="D183" s="94" t="s">
        <v>252</v>
      </c>
      <c r="E183" s="96">
        <v>38583</v>
      </c>
      <c r="F183" s="97">
        <f t="shared" ca="1" si="8"/>
        <v>11</v>
      </c>
      <c r="G183" s="98"/>
      <c r="H183" s="99">
        <v>15744</v>
      </c>
      <c r="I183" s="100">
        <v>3</v>
      </c>
    </row>
    <row r="184" spans="1:9" ht="13.5" x14ac:dyDescent="0.25">
      <c r="A184" s="94" t="s">
        <v>417</v>
      </c>
      <c r="B184" s="95" t="s">
        <v>251</v>
      </c>
      <c r="C184" s="94" t="s">
        <v>417</v>
      </c>
      <c r="D184" s="94" t="s">
        <v>247</v>
      </c>
      <c r="E184" s="96">
        <v>38744</v>
      </c>
      <c r="F184" s="97">
        <f t="shared" ca="1" si="8"/>
        <v>10</v>
      </c>
      <c r="G184" s="98"/>
      <c r="H184" s="99">
        <v>56920</v>
      </c>
      <c r="I184" s="100">
        <v>4</v>
      </c>
    </row>
    <row r="185" spans="1:9" ht="13.5" x14ac:dyDescent="0.25">
      <c r="A185" s="94" t="s">
        <v>417</v>
      </c>
      <c r="B185" s="95" t="s">
        <v>271</v>
      </c>
      <c r="C185" s="94" t="s">
        <v>417</v>
      </c>
      <c r="D185" s="94" t="s">
        <v>247</v>
      </c>
      <c r="E185" s="102">
        <v>38926</v>
      </c>
      <c r="F185" s="97">
        <f t="shared" ca="1" si="8"/>
        <v>10</v>
      </c>
      <c r="G185" s="98"/>
      <c r="H185" s="99">
        <v>45830</v>
      </c>
      <c r="I185" s="100">
        <v>4</v>
      </c>
    </row>
    <row r="186" spans="1:9" ht="13.5" x14ac:dyDescent="0.25">
      <c r="A186" s="94" t="s">
        <v>417</v>
      </c>
      <c r="B186" s="95" t="s">
        <v>266</v>
      </c>
      <c r="C186" s="94" t="s">
        <v>417</v>
      </c>
      <c r="D186" s="94" t="s">
        <v>247</v>
      </c>
      <c r="E186" s="96">
        <v>38949</v>
      </c>
      <c r="F186" s="97">
        <f t="shared" ca="1" si="8"/>
        <v>10</v>
      </c>
      <c r="G186" s="98"/>
      <c r="H186" s="99">
        <v>45710</v>
      </c>
      <c r="I186" s="100">
        <v>3</v>
      </c>
    </row>
    <row r="187" spans="1:9" ht="13.5" x14ac:dyDescent="0.25">
      <c r="A187" s="94" t="s">
        <v>417</v>
      </c>
      <c r="B187" s="95" t="s">
        <v>271</v>
      </c>
      <c r="C187" s="94" t="s">
        <v>417</v>
      </c>
      <c r="D187" s="94" t="s">
        <v>256</v>
      </c>
      <c r="E187" s="96">
        <v>39089</v>
      </c>
      <c r="F187" s="97">
        <f t="shared" ca="1" si="8"/>
        <v>9</v>
      </c>
      <c r="G187" s="98" t="s">
        <v>267</v>
      </c>
      <c r="H187" s="99">
        <v>32640</v>
      </c>
      <c r="I187" s="100">
        <v>4</v>
      </c>
    </row>
    <row r="188" spans="1:9" ht="13.5" x14ac:dyDescent="0.25">
      <c r="A188" s="94" t="s">
        <v>417</v>
      </c>
      <c r="B188" s="95" t="s">
        <v>285</v>
      </c>
      <c r="C188" s="94" t="s">
        <v>417</v>
      </c>
      <c r="D188" s="94" t="s">
        <v>256</v>
      </c>
      <c r="E188" s="96">
        <v>39160</v>
      </c>
      <c r="F188" s="97">
        <f t="shared" ca="1" si="8"/>
        <v>9</v>
      </c>
      <c r="G188" s="98" t="s">
        <v>283</v>
      </c>
      <c r="H188" s="99">
        <v>42620</v>
      </c>
      <c r="I188" s="100">
        <v>3</v>
      </c>
    </row>
    <row r="189" spans="1:9" ht="13.5" x14ac:dyDescent="0.25">
      <c r="A189" s="101" t="s">
        <v>1045</v>
      </c>
      <c r="B189" s="95"/>
      <c r="C189" s="101"/>
      <c r="D189" s="94"/>
      <c r="E189" s="96"/>
      <c r="F189" s="97"/>
      <c r="G189" s="98"/>
      <c r="H189" s="99"/>
      <c r="I189" s="100"/>
    </row>
    <row r="190" spans="1:9" ht="13.5" x14ac:dyDescent="0.25">
      <c r="A190" s="94" t="s">
        <v>456</v>
      </c>
      <c r="B190" s="95" t="s">
        <v>271</v>
      </c>
      <c r="C190" s="94" t="s">
        <v>456</v>
      </c>
      <c r="D190" s="94" t="s">
        <v>256</v>
      </c>
      <c r="E190" s="96">
        <v>32075</v>
      </c>
      <c r="F190" s="97">
        <f t="shared" ref="F190:F197" ca="1" si="9">DATEDIF(E190,TODAY(),"Y")</f>
        <v>29</v>
      </c>
      <c r="G190" s="98" t="s">
        <v>257</v>
      </c>
      <c r="H190" s="99">
        <v>89140</v>
      </c>
      <c r="I190" s="100">
        <v>1</v>
      </c>
    </row>
    <row r="191" spans="1:9" ht="13.5" x14ac:dyDescent="0.25">
      <c r="A191" s="94" t="s">
        <v>456</v>
      </c>
      <c r="B191" s="95" t="s">
        <v>271</v>
      </c>
      <c r="C191" s="94" t="s">
        <v>456</v>
      </c>
      <c r="D191" s="94" t="s">
        <v>261</v>
      </c>
      <c r="E191" s="96">
        <v>33091</v>
      </c>
      <c r="F191" s="97">
        <f t="shared" ca="1" si="9"/>
        <v>26</v>
      </c>
      <c r="G191" s="98" t="s">
        <v>267</v>
      </c>
      <c r="H191" s="99">
        <v>89780</v>
      </c>
      <c r="I191" s="100">
        <v>4</v>
      </c>
    </row>
    <row r="192" spans="1:9" ht="13.5" x14ac:dyDescent="0.25">
      <c r="A192" s="94" t="s">
        <v>456</v>
      </c>
      <c r="B192" s="95" t="s">
        <v>271</v>
      </c>
      <c r="C192" s="94" t="s">
        <v>456</v>
      </c>
      <c r="D192" s="94" t="s">
        <v>252</v>
      </c>
      <c r="E192" s="96">
        <v>35209</v>
      </c>
      <c r="F192" s="97">
        <f t="shared" ca="1" si="9"/>
        <v>20</v>
      </c>
      <c r="G192" s="98" t="s">
        <v>283</v>
      </c>
      <c r="H192" s="99">
        <v>61860</v>
      </c>
      <c r="I192" s="100">
        <v>5</v>
      </c>
    </row>
    <row r="193" spans="1:9" ht="13.5" x14ac:dyDescent="0.25">
      <c r="A193" s="94" t="s">
        <v>456</v>
      </c>
      <c r="B193" s="95" t="s">
        <v>280</v>
      </c>
      <c r="C193" s="94" t="s">
        <v>456</v>
      </c>
      <c r="D193" s="94" t="s">
        <v>247</v>
      </c>
      <c r="E193" s="96">
        <v>35363</v>
      </c>
      <c r="F193" s="97">
        <f t="shared" ca="1" si="9"/>
        <v>20</v>
      </c>
      <c r="G193" s="98" t="s">
        <v>283</v>
      </c>
      <c r="H193" s="99">
        <v>69410</v>
      </c>
      <c r="I193" s="100">
        <v>4</v>
      </c>
    </row>
    <row r="194" spans="1:9" ht="13.5" x14ac:dyDescent="0.25">
      <c r="A194" s="94" t="s">
        <v>456</v>
      </c>
      <c r="B194" s="95" t="s">
        <v>280</v>
      </c>
      <c r="C194" s="94" t="s">
        <v>456</v>
      </c>
      <c r="D194" s="94" t="s">
        <v>256</v>
      </c>
      <c r="E194" s="96">
        <v>35733</v>
      </c>
      <c r="F194" s="97">
        <f t="shared" ca="1" si="9"/>
        <v>19</v>
      </c>
      <c r="G194" s="98" t="s">
        <v>262</v>
      </c>
      <c r="H194" s="99">
        <v>45150</v>
      </c>
      <c r="I194" s="100">
        <v>1</v>
      </c>
    </row>
    <row r="195" spans="1:9" ht="13.5" x14ac:dyDescent="0.25">
      <c r="A195" s="94" t="s">
        <v>456</v>
      </c>
      <c r="B195" s="95" t="s">
        <v>285</v>
      </c>
      <c r="C195" s="94" t="s">
        <v>456</v>
      </c>
      <c r="D195" s="94" t="s">
        <v>261</v>
      </c>
      <c r="E195" s="96">
        <v>36195</v>
      </c>
      <c r="F195" s="97">
        <f t="shared" ca="1" si="9"/>
        <v>17</v>
      </c>
      <c r="G195" s="98" t="s">
        <v>276</v>
      </c>
      <c r="H195" s="99">
        <v>51800</v>
      </c>
      <c r="I195" s="100">
        <v>1</v>
      </c>
    </row>
    <row r="196" spans="1:9" ht="13.5" x14ac:dyDescent="0.25">
      <c r="A196" s="94" t="s">
        <v>456</v>
      </c>
      <c r="B196" s="95" t="s">
        <v>285</v>
      </c>
      <c r="C196" s="94" t="s">
        <v>456</v>
      </c>
      <c r="D196" s="94" t="s">
        <v>252</v>
      </c>
      <c r="E196" s="96">
        <v>36636</v>
      </c>
      <c r="F196" s="97">
        <f t="shared" ca="1" si="9"/>
        <v>16</v>
      </c>
      <c r="G196" s="98" t="s">
        <v>257</v>
      </c>
      <c r="H196" s="99">
        <v>85130</v>
      </c>
      <c r="I196" s="100">
        <v>5</v>
      </c>
    </row>
    <row r="197" spans="1:9" ht="13.5" x14ac:dyDescent="0.25">
      <c r="A197" s="94" t="s">
        <v>456</v>
      </c>
      <c r="B197" s="95" t="s">
        <v>251</v>
      </c>
      <c r="C197" s="94" t="s">
        <v>456</v>
      </c>
      <c r="D197" s="94" t="s">
        <v>247</v>
      </c>
      <c r="E197" s="96">
        <v>38953</v>
      </c>
      <c r="F197" s="97">
        <f t="shared" ca="1" si="9"/>
        <v>10</v>
      </c>
      <c r="G197" s="98" t="s">
        <v>267</v>
      </c>
      <c r="H197" s="99">
        <v>71190</v>
      </c>
      <c r="I197" s="100">
        <v>4</v>
      </c>
    </row>
    <row r="198" spans="1:9" ht="13.5" x14ac:dyDescent="0.25">
      <c r="A198" s="101" t="s">
        <v>1046</v>
      </c>
      <c r="B198" s="95"/>
      <c r="C198" s="101"/>
      <c r="D198" s="94"/>
      <c r="E198" s="96"/>
      <c r="F198" s="97"/>
      <c r="G198" s="98"/>
      <c r="H198" s="99"/>
      <c r="I198" s="100"/>
    </row>
    <row r="199" spans="1:9" ht="13.5" x14ac:dyDescent="0.25">
      <c r="A199" s="94" t="s">
        <v>465</v>
      </c>
      <c r="B199" s="95" t="s">
        <v>285</v>
      </c>
      <c r="C199" s="94" t="s">
        <v>465</v>
      </c>
      <c r="D199" s="94" t="s">
        <v>256</v>
      </c>
      <c r="E199" s="96">
        <v>32303</v>
      </c>
      <c r="F199" s="97">
        <f t="shared" ref="F199:F262" ca="1" si="10">DATEDIF(E199,TODAY(),"Y")</f>
        <v>28</v>
      </c>
      <c r="G199" s="98" t="s">
        <v>586</v>
      </c>
      <c r="H199" s="99">
        <v>56900</v>
      </c>
      <c r="I199" s="100">
        <v>5</v>
      </c>
    </row>
    <row r="200" spans="1:9" ht="13.5" x14ac:dyDescent="0.25">
      <c r="A200" s="94" t="s">
        <v>465</v>
      </c>
      <c r="B200" s="95" t="s">
        <v>271</v>
      </c>
      <c r="C200" s="94" t="s">
        <v>465</v>
      </c>
      <c r="D200" s="94" t="s">
        <v>256</v>
      </c>
      <c r="E200" s="96">
        <v>32321</v>
      </c>
      <c r="F200" s="97">
        <f t="shared" ca="1" si="10"/>
        <v>28</v>
      </c>
      <c r="G200" s="98" t="s">
        <v>257</v>
      </c>
      <c r="H200" s="99">
        <v>52940</v>
      </c>
      <c r="I200" s="100">
        <v>4</v>
      </c>
    </row>
    <row r="201" spans="1:9" ht="13.5" x14ac:dyDescent="0.25">
      <c r="A201" s="94" t="s">
        <v>465</v>
      </c>
      <c r="B201" s="95" t="s">
        <v>271</v>
      </c>
      <c r="C201" s="94" t="s">
        <v>465</v>
      </c>
      <c r="D201" s="94" t="s">
        <v>256</v>
      </c>
      <c r="E201" s="96">
        <v>32338</v>
      </c>
      <c r="F201" s="97">
        <f t="shared" ca="1" si="10"/>
        <v>28</v>
      </c>
      <c r="G201" s="98" t="s">
        <v>276</v>
      </c>
      <c r="H201" s="99">
        <v>60380</v>
      </c>
      <c r="I201" s="100">
        <v>4</v>
      </c>
    </row>
    <row r="202" spans="1:9" ht="13.5" x14ac:dyDescent="0.25">
      <c r="A202" s="94" t="s">
        <v>465</v>
      </c>
      <c r="B202" s="95" t="s">
        <v>245</v>
      </c>
      <c r="C202" s="94" t="s">
        <v>465</v>
      </c>
      <c r="D202" s="94" t="s">
        <v>256</v>
      </c>
      <c r="E202" s="96">
        <v>32410</v>
      </c>
      <c r="F202" s="97">
        <f t="shared" ca="1" si="10"/>
        <v>28</v>
      </c>
      <c r="G202" s="98" t="s">
        <v>283</v>
      </c>
      <c r="H202" s="99">
        <v>58910</v>
      </c>
      <c r="I202" s="100">
        <v>1</v>
      </c>
    </row>
    <row r="203" spans="1:9" ht="13.5" x14ac:dyDescent="0.25">
      <c r="A203" s="94" t="s">
        <v>465</v>
      </c>
      <c r="B203" s="95" t="s">
        <v>271</v>
      </c>
      <c r="C203" s="94" t="s">
        <v>465</v>
      </c>
      <c r="D203" s="94" t="s">
        <v>256</v>
      </c>
      <c r="E203" s="96">
        <v>32411</v>
      </c>
      <c r="F203" s="97">
        <f t="shared" ca="1" si="10"/>
        <v>28</v>
      </c>
      <c r="G203" s="98" t="s">
        <v>283</v>
      </c>
      <c r="H203" s="99">
        <v>26190</v>
      </c>
      <c r="I203" s="100">
        <v>5</v>
      </c>
    </row>
    <row r="204" spans="1:9" ht="13.5" x14ac:dyDescent="0.25">
      <c r="A204" s="94" t="s">
        <v>465</v>
      </c>
      <c r="B204" s="95" t="s">
        <v>280</v>
      </c>
      <c r="C204" s="94" t="s">
        <v>465</v>
      </c>
      <c r="D204" s="94" t="s">
        <v>252</v>
      </c>
      <c r="E204" s="96">
        <v>32441</v>
      </c>
      <c r="F204" s="97">
        <f t="shared" ca="1" si="10"/>
        <v>28</v>
      </c>
      <c r="G204" s="98"/>
      <c r="H204" s="99">
        <v>22344</v>
      </c>
      <c r="I204" s="100">
        <v>4</v>
      </c>
    </row>
    <row r="205" spans="1:9" ht="13.5" x14ac:dyDescent="0.25">
      <c r="A205" s="94" t="s">
        <v>465</v>
      </c>
      <c r="B205" s="95" t="s">
        <v>285</v>
      </c>
      <c r="C205" s="94" t="s">
        <v>465</v>
      </c>
      <c r="D205" s="94" t="s">
        <v>247</v>
      </c>
      <c r="E205" s="96">
        <v>32464</v>
      </c>
      <c r="F205" s="97">
        <f t="shared" ca="1" si="10"/>
        <v>27</v>
      </c>
      <c r="G205" s="98"/>
      <c r="H205" s="99">
        <v>32190</v>
      </c>
      <c r="I205" s="100">
        <v>3</v>
      </c>
    </row>
    <row r="206" spans="1:9" ht="13.5" x14ac:dyDescent="0.25">
      <c r="A206" s="94" t="s">
        <v>465</v>
      </c>
      <c r="B206" s="95" t="s">
        <v>271</v>
      </c>
      <c r="C206" s="94" t="s">
        <v>465</v>
      </c>
      <c r="D206" s="94" t="s">
        <v>247</v>
      </c>
      <c r="E206" s="96">
        <v>32509</v>
      </c>
      <c r="F206" s="97">
        <f t="shared" ca="1" si="10"/>
        <v>27</v>
      </c>
      <c r="G206" s="98"/>
      <c r="H206" s="99">
        <v>49530</v>
      </c>
      <c r="I206" s="100">
        <v>2</v>
      </c>
    </row>
    <row r="207" spans="1:9" ht="13.5" x14ac:dyDescent="0.25">
      <c r="A207" s="94" t="s">
        <v>465</v>
      </c>
      <c r="B207" s="95" t="s">
        <v>271</v>
      </c>
      <c r="C207" s="94" t="s">
        <v>465</v>
      </c>
      <c r="D207" s="94" t="s">
        <v>247</v>
      </c>
      <c r="E207" s="96">
        <v>32669</v>
      </c>
      <c r="F207" s="97">
        <f t="shared" ca="1" si="10"/>
        <v>27</v>
      </c>
      <c r="G207" s="98"/>
      <c r="H207" s="99">
        <v>73990</v>
      </c>
      <c r="I207" s="100">
        <v>3</v>
      </c>
    </row>
    <row r="208" spans="1:9" ht="13.5" x14ac:dyDescent="0.25">
      <c r="A208" s="94" t="s">
        <v>465</v>
      </c>
      <c r="B208" s="95" t="s">
        <v>271</v>
      </c>
      <c r="C208" s="94" t="s">
        <v>465</v>
      </c>
      <c r="D208" s="94" t="s">
        <v>256</v>
      </c>
      <c r="E208" s="96">
        <v>32683</v>
      </c>
      <c r="F208" s="97">
        <f t="shared" ca="1" si="10"/>
        <v>27</v>
      </c>
      <c r="G208" s="98" t="s">
        <v>283</v>
      </c>
      <c r="H208" s="99">
        <v>45500</v>
      </c>
      <c r="I208" s="100">
        <v>3</v>
      </c>
    </row>
    <row r="209" spans="1:9" ht="13.5" x14ac:dyDescent="0.25">
      <c r="A209" s="94" t="s">
        <v>465</v>
      </c>
      <c r="B209" s="95" t="s">
        <v>251</v>
      </c>
      <c r="C209" s="94" t="s">
        <v>465</v>
      </c>
      <c r="D209" s="94" t="s">
        <v>247</v>
      </c>
      <c r="E209" s="96">
        <v>32721</v>
      </c>
      <c r="F209" s="97">
        <f t="shared" ca="1" si="10"/>
        <v>27</v>
      </c>
      <c r="G209" s="98"/>
      <c r="H209" s="99">
        <v>64430</v>
      </c>
      <c r="I209" s="100">
        <v>4</v>
      </c>
    </row>
    <row r="210" spans="1:9" ht="13.5" x14ac:dyDescent="0.25">
      <c r="A210" s="94" t="s">
        <v>465</v>
      </c>
      <c r="B210" s="95" t="s">
        <v>245</v>
      </c>
      <c r="C210" s="94" t="s">
        <v>465</v>
      </c>
      <c r="D210" s="94" t="s">
        <v>247</v>
      </c>
      <c r="E210" s="96">
        <v>32743</v>
      </c>
      <c r="F210" s="97">
        <f t="shared" ca="1" si="10"/>
        <v>27</v>
      </c>
      <c r="G210" s="98"/>
      <c r="H210" s="99">
        <v>79220</v>
      </c>
      <c r="I210" s="100">
        <v>4</v>
      </c>
    </row>
    <row r="211" spans="1:9" ht="13.5" x14ac:dyDescent="0.25">
      <c r="A211" s="94" t="s">
        <v>465</v>
      </c>
      <c r="B211" s="95" t="s">
        <v>280</v>
      </c>
      <c r="C211" s="94" t="s">
        <v>465</v>
      </c>
      <c r="D211" s="94" t="s">
        <v>256</v>
      </c>
      <c r="E211" s="96">
        <v>32758</v>
      </c>
      <c r="F211" s="97">
        <f t="shared" ca="1" si="10"/>
        <v>27</v>
      </c>
      <c r="G211" s="98" t="s">
        <v>283</v>
      </c>
      <c r="H211" s="99">
        <v>23330</v>
      </c>
      <c r="I211" s="100">
        <v>4</v>
      </c>
    </row>
    <row r="212" spans="1:9" ht="13.5" x14ac:dyDescent="0.25">
      <c r="A212" s="94" t="s">
        <v>465</v>
      </c>
      <c r="B212" s="95" t="s">
        <v>271</v>
      </c>
      <c r="C212" s="94" t="s">
        <v>465</v>
      </c>
      <c r="D212" s="94" t="s">
        <v>247</v>
      </c>
      <c r="E212" s="96">
        <v>32839</v>
      </c>
      <c r="F212" s="97">
        <f t="shared" ca="1" si="10"/>
        <v>26</v>
      </c>
      <c r="G212" s="98"/>
      <c r="H212" s="99">
        <v>45770</v>
      </c>
      <c r="I212" s="100">
        <v>5</v>
      </c>
    </row>
    <row r="213" spans="1:9" ht="13.5" x14ac:dyDescent="0.25">
      <c r="A213" s="94" t="s">
        <v>465</v>
      </c>
      <c r="B213" s="95" t="s">
        <v>271</v>
      </c>
      <c r="C213" s="94" t="s">
        <v>465</v>
      </c>
      <c r="D213" s="94" t="s">
        <v>256</v>
      </c>
      <c r="E213" s="96">
        <v>32841</v>
      </c>
      <c r="F213" s="97">
        <f t="shared" ca="1" si="10"/>
        <v>26</v>
      </c>
      <c r="G213" s="98" t="s">
        <v>283</v>
      </c>
      <c r="H213" s="99">
        <v>81980</v>
      </c>
      <c r="I213" s="100">
        <v>2</v>
      </c>
    </row>
    <row r="214" spans="1:9" ht="13.5" x14ac:dyDescent="0.25">
      <c r="A214" s="94" t="s">
        <v>465</v>
      </c>
      <c r="B214" s="95" t="s">
        <v>245</v>
      </c>
      <c r="C214" s="94" t="s">
        <v>465</v>
      </c>
      <c r="D214" s="94" t="s">
        <v>261</v>
      </c>
      <c r="E214" s="96">
        <v>32853</v>
      </c>
      <c r="F214" s="97">
        <f t="shared" ca="1" si="10"/>
        <v>26</v>
      </c>
      <c r="G214" s="98" t="s">
        <v>262</v>
      </c>
      <c r="H214" s="99">
        <v>18895</v>
      </c>
      <c r="I214" s="100">
        <v>4</v>
      </c>
    </row>
    <row r="215" spans="1:9" ht="13.5" x14ac:dyDescent="0.25">
      <c r="A215" s="94" t="s">
        <v>465</v>
      </c>
      <c r="B215" s="95" t="s">
        <v>280</v>
      </c>
      <c r="C215" s="94" t="s">
        <v>465</v>
      </c>
      <c r="D215" s="94" t="s">
        <v>252</v>
      </c>
      <c r="E215" s="96">
        <v>32855</v>
      </c>
      <c r="F215" s="97">
        <f t="shared" ca="1" si="10"/>
        <v>26</v>
      </c>
      <c r="G215" s="98"/>
      <c r="H215" s="99">
        <v>30416</v>
      </c>
      <c r="I215" s="100">
        <v>1</v>
      </c>
    </row>
    <row r="216" spans="1:9" ht="13.5" x14ac:dyDescent="0.25">
      <c r="A216" s="94" t="s">
        <v>465</v>
      </c>
      <c r="B216" s="95" t="s">
        <v>280</v>
      </c>
      <c r="C216" s="94" t="s">
        <v>465</v>
      </c>
      <c r="D216" s="94" t="s">
        <v>247</v>
      </c>
      <c r="E216" s="96">
        <v>32955</v>
      </c>
      <c r="F216" s="97">
        <f t="shared" ca="1" si="10"/>
        <v>26</v>
      </c>
      <c r="G216" s="98"/>
      <c r="H216" s="99">
        <v>35460</v>
      </c>
      <c r="I216" s="100">
        <v>3</v>
      </c>
    </row>
    <row r="217" spans="1:9" ht="13.5" x14ac:dyDescent="0.25">
      <c r="A217" s="94" t="s">
        <v>465</v>
      </c>
      <c r="B217" s="95" t="s">
        <v>271</v>
      </c>
      <c r="C217" s="94" t="s">
        <v>465</v>
      </c>
      <c r="D217" s="94" t="s">
        <v>256</v>
      </c>
      <c r="E217" s="96">
        <v>33094</v>
      </c>
      <c r="F217" s="97">
        <f t="shared" ca="1" si="10"/>
        <v>26</v>
      </c>
      <c r="G217" s="98" t="s">
        <v>283</v>
      </c>
      <c r="H217" s="99">
        <v>24710</v>
      </c>
      <c r="I217" s="100">
        <v>2</v>
      </c>
    </row>
    <row r="218" spans="1:9" ht="13.5" x14ac:dyDescent="0.25">
      <c r="A218" s="94" t="s">
        <v>465</v>
      </c>
      <c r="B218" s="95" t="s">
        <v>271</v>
      </c>
      <c r="C218" s="94" t="s">
        <v>465</v>
      </c>
      <c r="D218" s="94" t="s">
        <v>247</v>
      </c>
      <c r="E218" s="96">
        <v>33115</v>
      </c>
      <c r="F218" s="97">
        <f t="shared" ca="1" si="10"/>
        <v>26</v>
      </c>
      <c r="G218" s="98"/>
      <c r="H218" s="99">
        <v>63310</v>
      </c>
      <c r="I218" s="100">
        <v>3</v>
      </c>
    </row>
    <row r="219" spans="1:9" ht="13.5" x14ac:dyDescent="0.25">
      <c r="A219" s="94" t="s">
        <v>465</v>
      </c>
      <c r="B219" s="95" t="s">
        <v>251</v>
      </c>
      <c r="C219" s="94" t="s">
        <v>465</v>
      </c>
      <c r="D219" s="94" t="s">
        <v>256</v>
      </c>
      <c r="E219" s="96">
        <v>33173</v>
      </c>
      <c r="F219" s="97">
        <f t="shared" ca="1" si="10"/>
        <v>26</v>
      </c>
      <c r="G219" s="98" t="s">
        <v>257</v>
      </c>
      <c r="H219" s="99">
        <v>81010</v>
      </c>
      <c r="I219" s="100">
        <v>4</v>
      </c>
    </row>
    <row r="220" spans="1:9" ht="13.5" x14ac:dyDescent="0.25">
      <c r="A220" s="94" t="s">
        <v>465</v>
      </c>
      <c r="B220" s="95" t="s">
        <v>245</v>
      </c>
      <c r="C220" s="94" t="s">
        <v>465</v>
      </c>
      <c r="D220" s="94" t="s">
        <v>256</v>
      </c>
      <c r="E220" s="96">
        <v>33231</v>
      </c>
      <c r="F220" s="97">
        <f t="shared" ca="1" si="10"/>
        <v>25</v>
      </c>
      <c r="G220" s="98" t="s">
        <v>276</v>
      </c>
      <c r="H220" s="99">
        <v>34480</v>
      </c>
      <c r="I220" s="100">
        <v>3</v>
      </c>
    </row>
    <row r="221" spans="1:9" ht="13.5" x14ac:dyDescent="0.25">
      <c r="A221" s="94" t="s">
        <v>465</v>
      </c>
      <c r="B221" s="95" t="s">
        <v>251</v>
      </c>
      <c r="C221" s="94" t="s">
        <v>465</v>
      </c>
      <c r="D221" s="94" t="s">
        <v>261</v>
      </c>
      <c r="E221" s="96">
        <v>33273</v>
      </c>
      <c r="F221" s="97">
        <f t="shared" ca="1" si="10"/>
        <v>25</v>
      </c>
      <c r="G221" s="98" t="s">
        <v>262</v>
      </c>
      <c r="H221" s="99">
        <v>15260</v>
      </c>
      <c r="I221" s="100">
        <v>2</v>
      </c>
    </row>
    <row r="222" spans="1:9" ht="13.5" x14ac:dyDescent="0.25">
      <c r="A222" s="94" t="s">
        <v>465</v>
      </c>
      <c r="B222" s="95" t="s">
        <v>266</v>
      </c>
      <c r="C222" s="94" t="s">
        <v>465</v>
      </c>
      <c r="D222" s="94" t="s">
        <v>247</v>
      </c>
      <c r="E222" s="96">
        <v>33361</v>
      </c>
      <c r="F222" s="97">
        <f t="shared" ca="1" si="10"/>
        <v>25</v>
      </c>
      <c r="G222" s="98"/>
      <c r="H222" s="99">
        <v>80690</v>
      </c>
      <c r="I222" s="100">
        <v>3</v>
      </c>
    </row>
    <row r="223" spans="1:9" ht="13.5" x14ac:dyDescent="0.25">
      <c r="A223" s="94" t="s">
        <v>465</v>
      </c>
      <c r="B223" s="95" t="s">
        <v>251</v>
      </c>
      <c r="C223" s="94" t="s">
        <v>465</v>
      </c>
      <c r="D223" s="94" t="s">
        <v>256</v>
      </c>
      <c r="E223" s="96">
        <v>33475</v>
      </c>
      <c r="F223" s="97">
        <f t="shared" ca="1" si="10"/>
        <v>25</v>
      </c>
      <c r="G223" s="98" t="s">
        <v>257</v>
      </c>
      <c r="H223" s="99">
        <v>24300</v>
      </c>
      <c r="I223" s="100">
        <v>3</v>
      </c>
    </row>
    <row r="224" spans="1:9" ht="13.5" x14ac:dyDescent="0.25">
      <c r="A224" s="94" t="s">
        <v>465</v>
      </c>
      <c r="B224" s="95" t="s">
        <v>285</v>
      </c>
      <c r="C224" s="94" t="s">
        <v>465</v>
      </c>
      <c r="D224" s="94" t="s">
        <v>256</v>
      </c>
      <c r="E224" s="96">
        <v>33571</v>
      </c>
      <c r="F224" s="97">
        <f t="shared" ca="1" si="10"/>
        <v>24</v>
      </c>
      <c r="G224" s="98" t="s">
        <v>262</v>
      </c>
      <c r="H224" s="99">
        <v>63070</v>
      </c>
      <c r="I224" s="100">
        <v>1</v>
      </c>
    </row>
    <row r="225" spans="1:9" ht="13.5" x14ac:dyDescent="0.25">
      <c r="A225" s="94" t="s">
        <v>465</v>
      </c>
      <c r="B225" s="95" t="s">
        <v>285</v>
      </c>
      <c r="C225" s="94" t="s">
        <v>465</v>
      </c>
      <c r="D225" s="94" t="s">
        <v>256</v>
      </c>
      <c r="E225" s="96">
        <v>33661</v>
      </c>
      <c r="F225" s="97">
        <f t="shared" ca="1" si="10"/>
        <v>24</v>
      </c>
      <c r="G225" s="98" t="s">
        <v>283</v>
      </c>
      <c r="H225" s="99">
        <v>67050</v>
      </c>
      <c r="I225" s="100">
        <v>4</v>
      </c>
    </row>
    <row r="226" spans="1:9" ht="13.5" x14ac:dyDescent="0.25">
      <c r="A226" s="94" t="s">
        <v>465</v>
      </c>
      <c r="B226" s="95" t="s">
        <v>245</v>
      </c>
      <c r="C226" s="94" t="s">
        <v>465</v>
      </c>
      <c r="D226" s="94" t="s">
        <v>256</v>
      </c>
      <c r="E226" s="96">
        <v>33710</v>
      </c>
      <c r="F226" s="97">
        <f t="shared" ca="1" si="10"/>
        <v>24</v>
      </c>
      <c r="G226" s="98" t="s">
        <v>262</v>
      </c>
      <c r="H226" s="99">
        <v>38940</v>
      </c>
      <c r="I226" s="100">
        <v>2</v>
      </c>
    </row>
    <row r="227" spans="1:9" ht="13.5" x14ac:dyDescent="0.25">
      <c r="A227" s="94" t="s">
        <v>465</v>
      </c>
      <c r="B227" s="95" t="s">
        <v>285</v>
      </c>
      <c r="C227" s="94" t="s">
        <v>465</v>
      </c>
      <c r="D227" s="94" t="s">
        <v>256</v>
      </c>
      <c r="E227" s="96">
        <v>33714</v>
      </c>
      <c r="F227" s="97">
        <f t="shared" ca="1" si="10"/>
        <v>24</v>
      </c>
      <c r="G227" s="98" t="s">
        <v>283</v>
      </c>
      <c r="H227" s="99">
        <v>73072</v>
      </c>
      <c r="I227" s="100">
        <v>5</v>
      </c>
    </row>
    <row r="228" spans="1:9" ht="13.5" x14ac:dyDescent="0.25">
      <c r="A228" s="94" t="s">
        <v>465</v>
      </c>
      <c r="B228" s="95" t="s">
        <v>271</v>
      </c>
      <c r="C228" s="94" t="s">
        <v>465</v>
      </c>
      <c r="D228" s="94" t="s">
        <v>256</v>
      </c>
      <c r="E228" s="96">
        <v>33846</v>
      </c>
      <c r="F228" s="97">
        <f t="shared" ca="1" si="10"/>
        <v>24</v>
      </c>
      <c r="G228" s="98" t="s">
        <v>283</v>
      </c>
      <c r="H228" s="99">
        <v>86260</v>
      </c>
      <c r="I228" s="100">
        <v>3</v>
      </c>
    </row>
    <row r="229" spans="1:9" ht="13.5" x14ac:dyDescent="0.25">
      <c r="A229" s="94" t="s">
        <v>465</v>
      </c>
      <c r="B229" s="95" t="s">
        <v>285</v>
      </c>
      <c r="C229" s="94" t="s">
        <v>465</v>
      </c>
      <c r="D229" s="94" t="s">
        <v>247</v>
      </c>
      <c r="E229" s="96">
        <v>33875</v>
      </c>
      <c r="F229" s="97">
        <f t="shared" ca="1" si="10"/>
        <v>24</v>
      </c>
      <c r="G229" s="98"/>
      <c r="H229" s="99">
        <v>24410</v>
      </c>
      <c r="I229" s="100">
        <v>3</v>
      </c>
    </row>
    <row r="230" spans="1:9" ht="13.5" x14ac:dyDescent="0.25">
      <c r="A230" s="94" t="s">
        <v>465</v>
      </c>
      <c r="B230" s="95" t="s">
        <v>271</v>
      </c>
      <c r="C230" s="94" t="s">
        <v>465</v>
      </c>
      <c r="D230" s="94" t="s">
        <v>256</v>
      </c>
      <c r="E230" s="96">
        <v>33878</v>
      </c>
      <c r="F230" s="97">
        <f t="shared" ca="1" si="10"/>
        <v>24</v>
      </c>
      <c r="G230" s="98" t="s">
        <v>283</v>
      </c>
      <c r="H230" s="99">
        <v>44270</v>
      </c>
      <c r="I230" s="100">
        <v>2</v>
      </c>
    </row>
    <row r="231" spans="1:9" ht="13.5" x14ac:dyDescent="0.25">
      <c r="A231" s="94" t="s">
        <v>465</v>
      </c>
      <c r="B231" s="95" t="s">
        <v>285</v>
      </c>
      <c r="C231" s="94" t="s">
        <v>465</v>
      </c>
      <c r="D231" s="94" t="s">
        <v>261</v>
      </c>
      <c r="E231" s="96">
        <v>33879</v>
      </c>
      <c r="F231" s="97">
        <f t="shared" ca="1" si="10"/>
        <v>24</v>
      </c>
      <c r="G231" s="98" t="s">
        <v>257</v>
      </c>
      <c r="H231" s="99">
        <v>46285</v>
      </c>
      <c r="I231" s="100">
        <v>5</v>
      </c>
    </row>
    <row r="232" spans="1:9" ht="13.5" x14ac:dyDescent="0.25">
      <c r="A232" s="94" t="s">
        <v>465</v>
      </c>
      <c r="B232" s="95" t="s">
        <v>285</v>
      </c>
      <c r="C232" s="94" t="s">
        <v>465</v>
      </c>
      <c r="D232" s="94" t="s">
        <v>256</v>
      </c>
      <c r="E232" s="96">
        <v>33889</v>
      </c>
      <c r="F232" s="97">
        <f t="shared" ca="1" si="10"/>
        <v>24</v>
      </c>
      <c r="G232" s="98" t="s">
        <v>257</v>
      </c>
      <c r="H232" s="99">
        <v>73450</v>
      </c>
      <c r="I232" s="100">
        <v>3</v>
      </c>
    </row>
    <row r="233" spans="1:9" ht="13.5" x14ac:dyDescent="0.25">
      <c r="A233" s="94" t="s">
        <v>465</v>
      </c>
      <c r="B233" s="95" t="s">
        <v>251</v>
      </c>
      <c r="C233" s="94" t="s">
        <v>465</v>
      </c>
      <c r="D233" s="94" t="s">
        <v>256</v>
      </c>
      <c r="E233" s="96">
        <v>34001</v>
      </c>
      <c r="F233" s="97">
        <f t="shared" ca="1" si="10"/>
        <v>23</v>
      </c>
      <c r="G233" s="98" t="s">
        <v>267</v>
      </c>
      <c r="H233" s="99">
        <v>39520</v>
      </c>
      <c r="I233" s="100">
        <v>5</v>
      </c>
    </row>
    <row r="234" spans="1:9" ht="13.5" x14ac:dyDescent="0.25">
      <c r="A234" s="94" t="s">
        <v>465</v>
      </c>
      <c r="B234" s="95" t="s">
        <v>251</v>
      </c>
      <c r="C234" s="94" t="s">
        <v>465</v>
      </c>
      <c r="D234" s="94" t="s">
        <v>261</v>
      </c>
      <c r="E234" s="96">
        <v>34033</v>
      </c>
      <c r="F234" s="97">
        <f t="shared" ca="1" si="10"/>
        <v>23</v>
      </c>
      <c r="G234" s="98" t="s">
        <v>257</v>
      </c>
      <c r="H234" s="99">
        <v>46645</v>
      </c>
      <c r="I234" s="100">
        <v>5</v>
      </c>
    </row>
    <row r="235" spans="1:9" ht="13.5" x14ac:dyDescent="0.25">
      <c r="A235" s="94" t="s">
        <v>465</v>
      </c>
      <c r="B235" s="95" t="s">
        <v>271</v>
      </c>
      <c r="C235" s="94" t="s">
        <v>465</v>
      </c>
      <c r="D235" s="94" t="s">
        <v>247</v>
      </c>
      <c r="E235" s="96">
        <v>34039</v>
      </c>
      <c r="F235" s="97">
        <f t="shared" ca="1" si="10"/>
        <v>23</v>
      </c>
      <c r="G235" s="98"/>
      <c r="H235" s="99">
        <v>52940</v>
      </c>
      <c r="I235" s="100">
        <v>4</v>
      </c>
    </row>
    <row r="236" spans="1:9" ht="13.5" x14ac:dyDescent="0.25">
      <c r="A236" s="94" t="s">
        <v>465</v>
      </c>
      <c r="B236" s="95" t="s">
        <v>271</v>
      </c>
      <c r="C236" s="94" t="s">
        <v>465</v>
      </c>
      <c r="D236" s="94" t="s">
        <v>256</v>
      </c>
      <c r="E236" s="96">
        <v>34046</v>
      </c>
      <c r="F236" s="97">
        <f t="shared" ca="1" si="10"/>
        <v>23</v>
      </c>
      <c r="G236" s="98" t="s">
        <v>262</v>
      </c>
      <c r="H236" s="99">
        <v>45480</v>
      </c>
      <c r="I236" s="100">
        <v>4</v>
      </c>
    </row>
    <row r="237" spans="1:9" ht="13.5" x14ac:dyDescent="0.25">
      <c r="A237" s="94" t="s">
        <v>465</v>
      </c>
      <c r="B237" s="95" t="s">
        <v>266</v>
      </c>
      <c r="C237" s="94" t="s">
        <v>465</v>
      </c>
      <c r="D237" s="94" t="s">
        <v>247</v>
      </c>
      <c r="E237" s="96">
        <v>34050</v>
      </c>
      <c r="F237" s="97">
        <f t="shared" ca="1" si="10"/>
        <v>23</v>
      </c>
      <c r="G237" s="98"/>
      <c r="H237" s="99">
        <v>28260</v>
      </c>
      <c r="I237" s="100">
        <v>5</v>
      </c>
    </row>
    <row r="238" spans="1:9" ht="13.5" x14ac:dyDescent="0.25">
      <c r="A238" s="94" t="s">
        <v>465</v>
      </c>
      <c r="B238" s="95" t="s">
        <v>266</v>
      </c>
      <c r="C238" s="94" t="s">
        <v>465</v>
      </c>
      <c r="D238" s="94" t="s">
        <v>256</v>
      </c>
      <c r="E238" s="96">
        <v>34051</v>
      </c>
      <c r="F238" s="97">
        <f t="shared" ca="1" si="10"/>
        <v>23</v>
      </c>
      <c r="G238" s="98" t="s">
        <v>257</v>
      </c>
      <c r="H238" s="99">
        <v>59320</v>
      </c>
      <c r="I238" s="100">
        <v>4</v>
      </c>
    </row>
    <row r="239" spans="1:9" ht="13.5" x14ac:dyDescent="0.25">
      <c r="A239" s="94" t="s">
        <v>465</v>
      </c>
      <c r="B239" s="95" t="s">
        <v>271</v>
      </c>
      <c r="C239" s="94" t="s">
        <v>465</v>
      </c>
      <c r="D239" s="94" t="s">
        <v>247</v>
      </c>
      <c r="E239" s="96">
        <v>34069</v>
      </c>
      <c r="F239" s="97">
        <f t="shared" ca="1" si="10"/>
        <v>23</v>
      </c>
      <c r="G239" s="98"/>
      <c r="H239" s="99">
        <v>66010</v>
      </c>
      <c r="I239" s="100">
        <v>2</v>
      </c>
    </row>
    <row r="240" spans="1:9" ht="13.5" x14ac:dyDescent="0.25">
      <c r="A240" s="94" t="s">
        <v>465</v>
      </c>
      <c r="B240" s="95" t="s">
        <v>271</v>
      </c>
      <c r="C240" s="94" t="s">
        <v>465</v>
      </c>
      <c r="D240" s="94" t="s">
        <v>247</v>
      </c>
      <c r="E240" s="96">
        <v>34141</v>
      </c>
      <c r="F240" s="97">
        <f t="shared" ca="1" si="10"/>
        <v>23</v>
      </c>
      <c r="G240" s="98"/>
      <c r="H240" s="99">
        <v>42150</v>
      </c>
      <c r="I240" s="100">
        <v>5</v>
      </c>
    </row>
    <row r="241" spans="1:9" ht="13.5" x14ac:dyDescent="0.25">
      <c r="A241" s="94" t="s">
        <v>465</v>
      </c>
      <c r="B241" s="95" t="s">
        <v>245</v>
      </c>
      <c r="C241" s="94" t="s">
        <v>465</v>
      </c>
      <c r="D241" s="94" t="s">
        <v>252</v>
      </c>
      <c r="E241" s="96">
        <v>34180</v>
      </c>
      <c r="F241" s="97">
        <f t="shared" ca="1" si="10"/>
        <v>23</v>
      </c>
      <c r="G241" s="98"/>
      <c r="H241" s="99">
        <v>22472</v>
      </c>
      <c r="I241" s="100">
        <v>1</v>
      </c>
    </row>
    <row r="242" spans="1:9" ht="13.5" x14ac:dyDescent="0.25">
      <c r="A242" s="94" t="s">
        <v>465</v>
      </c>
      <c r="B242" s="95" t="s">
        <v>245</v>
      </c>
      <c r="C242" s="94" t="s">
        <v>465</v>
      </c>
      <c r="D242" s="94" t="s">
        <v>256</v>
      </c>
      <c r="E242" s="96">
        <v>34201</v>
      </c>
      <c r="F242" s="97">
        <f t="shared" ca="1" si="10"/>
        <v>23</v>
      </c>
      <c r="G242" s="98" t="s">
        <v>283</v>
      </c>
      <c r="H242" s="99">
        <v>73144</v>
      </c>
      <c r="I242" s="100">
        <v>5</v>
      </c>
    </row>
    <row r="243" spans="1:9" ht="13.5" x14ac:dyDescent="0.25">
      <c r="A243" s="94" t="s">
        <v>465</v>
      </c>
      <c r="B243" s="95" t="s">
        <v>271</v>
      </c>
      <c r="C243" s="94" t="s">
        <v>465</v>
      </c>
      <c r="D243" s="94" t="s">
        <v>256</v>
      </c>
      <c r="E243" s="96">
        <v>34210</v>
      </c>
      <c r="F243" s="97">
        <f t="shared" ca="1" si="10"/>
        <v>23</v>
      </c>
      <c r="G243" s="98" t="s">
        <v>257</v>
      </c>
      <c r="H243" s="99">
        <v>79730</v>
      </c>
      <c r="I243" s="100">
        <v>2</v>
      </c>
    </row>
    <row r="244" spans="1:9" ht="13.5" x14ac:dyDescent="0.25">
      <c r="A244" s="94" t="s">
        <v>465</v>
      </c>
      <c r="B244" s="95" t="s">
        <v>285</v>
      </c>
      <c r="C244" s="94" t="s">
        <v>465</v>
      </c>
      <c r="D244" s="94" t="s">
        <v>256</v>
      </c>
      <c r="E244" s="96">
        <v>34216</v>
      </c>
      <c r="F244" s="97">
        <f t="shared" ca="1" si="10"/>
        <v>23</v>
      </c>
      <c r="G244" s="98" t="s">
        <v>283</v>
      </c>
      <c r="H244" s="99">
        <v>32390</v>
      </c>
      <c r="I244" s="100">
        <v>2</v>
      </c>
    </row>
    <row r="245" spans="1:9" ht="13.5" x14ac:dyDescent="0.25">
      <c r="A245" s="94" t="s">
        <v>465</v>
      </c>
      <c r="B245" s="95" t="s">
        <v>280</v>
      </c>
      <c r="C245" s="94" t="s">
        <v>465</v>
      </c>
      <c r="D245" s="94" t="s">
        <v>256</v>
      </c>
      <c r="E245" s="96">
        <v>34219</v>
      </c>
      <c r="F245" s="97">
        <f t="shared" ca="1" si="10"/>
        <v>23</v>
      </c>
      <c r="G245" s="98" t="s">
        <v>267</v>
      </c>
      <c r="H245" s="99">
        <v>44920</v>
      </c>
      <c r="I245" s="100">
        <v>1</v>
      </c>
    </row>
    <row r="246" spans="1:9" ht="13.5" x14ac:dyDescent="0.25">
      <c r="A246" s="94" t="s">
        <v>465</v>
      </c>
      <c r="B246" s="95" t="s">
        <v>271</v>
      </c>
      <c r="C246" s="94" t="s">
        <v>465</v>
      </c>
      <c r="D246" s="94" t="s">
        <v>256</v>
      </c>
      <c r="E246" s="96">
        <v>34279</v>
      </c>
      <c r="F246" s="97">
        <f t="shared" ca="1" si="10"/>
        <v>23</v>
      </c>
      <c r="G246" s="98" t="s">
        <v>257</v>
      </c>
      <c r="H246" s="99">
        <v>60280</v>
      </c>
      <c r="I246" s="100">
        <v>1</v>
      </c>
    </row>
    <row r="247" spans="1:9" ht="13.5" x14ac:dyDescent="0.25">
      <c r="A247" s="94" t="s">
        <v>465</v>
      </c>
      <c r="B247" s="95" t="s">
        <v>251</v>
      </c>
      <c r="C247" s="94" t="s">
        <v>465</v>
      </c>
      <c r="D247" s="94" t="s">
        <v>256</v>
      </c>
      <c r="E247" s="96">
        <v>34281</v>
      </c>
      <c r="F247" s="97">
        <f t="shared" ca="1" si="10"/>
        <v>23</v>
      </c>
      <c r="G247" s="98" t="s">
        <v>283</v>
      </c>
      <c r="H247" s="99">
        <v>61150</v>
      </c>
      <c r="I247" s="100">
        <v>2</v>
      </c>
    </row>
    <row r="248" spans="1:9" ht="13.5" x14ac:dyDescent="0.25">
      <c r="A248" s="94" t="s">
        <v>465</v>
      </c>
      <c r="B248" s="95" t="s">
        <v>271</v>
      </c>
      <c r="C248" s="94" t="s">
        <v>465</v>
      </c>
      <c r="D248" s="94" t="s">
        <v>256</v>
      </c>
      <c r="E248" s="96">
        <v>34385</v>
      </c>
      <c r="F248" s="97">
        <f t="shared" ca="1" si="10"/>
        <v>22</v>
      </c>
      <c r="G248" s="98" t="s">
        <v>257</v>
      </c>
      <c r="H248" s="99">
        <v>60100</v>
      </c>
      <c r="I248" s="100">
        <v>1</v>
      </c>
    </row>
    <row r="249" spans="1:9" ht="13.5" x14ac:dyDescent="0.25">
      <c r="A249" s="94" t="s">
        <v>465</v>
      </c>
      <c r="B249" s="95" t="s">
        <v>285</v>
      </c>
      <c r="C249" s="94" t="s">
        <v>465</v>
      </c>
      <c r="D249" s="94" t="s">
        <v>256</v>
      </c>
      <c r="E249" s="96">
        <v>34393</v>
      </c>
      <c r="F249" s="97">
        <f t="shared" ca="1" si="10"/>
        <v>22</v>
      </c>
      <c r="G249" s="98" t="s">
        <v>262</v>
      </c>
      <c r="H249" s="99">
        <v>66430</v>
      </c>
      <c r="I249" s="100">
        <v>2</v>
      </c>
    </row>
    <row r="250" spans="1:9" ht="13.5" x14ac:dyDescent="0.25">
      <c r="A250" s="94" t="s">
        <v>465</v>
      </c>
      <c r="B250" s="95" t="s">
        <v>245</v>
      </c>
      <c r="C250" s="94" t="s">
        <v>465</v>
      </c>
      <c r="D250" s="94" t="s">
        <v>256</v>
      </c>
      <c r="E250" s="96">
        <v>34404</v>
      </c>
      <c r="F250" s="97">
        <f t="shared" ca="1" si="10"/>
        <v>22</v>
      </c>
      <c r="G250" s="98" t="s">
        <v>262</v>
      </c>
      <c r="H250" s="99">
        <v>70020</v>
      </c>
      <c r="I250" s="100">
        <v>3</v>
      </c>
    </row>
    <row r="251" spans="1:9" ht="13.5" x14ac:dyDescent="0.25">
      <c r="A251" s="94" t="s">
        <v>465</v>
      </c>
      <c r="B251" s="95" t="s">
        <v>251</v>
      </c>
      <c r="C251" s="94" t="s">
        <v>465</v>
      </c>
      <c r="D251" s="94" t="s">
        <v>256</v>
      </c>
      <c r="E251" s="96">
        <v>34491</v>
      </c>
      <c r="F251" s="97">
        <f t="shared" ca="1" si="10"/>
        <v>22</v>
      </c>
      <c r="G251" s="98" t="s">
        <v>257</v>
      </c>
      <c r="H251" s="99">
        <v>78570</v>
      </c>
      <c r="I251" s="100">
        <v>1</v>
      </c>
    </row>
    <row r="252" spans="1:9" ht="13.5" x14ac:dyDescent="0.25">
      <c r="A252" s="94" t="s">
        <v>465</v>
      </c>
      <c r="B252" s="95" t="s">
        <v>251</v>
      </c>
      <c r="C252" s="94" t="s">
        <v>465</v>
      </c>
      <c r="D252" s="94" t="s">
        <v>261</v>
      </c>
      <c r="E252" s="96">
        <v>34497</v>
      </c>
      <c r="F252" s="97">
        <f t="shared" ca="1" si="10"/>
        <v>22</v>
      </c>
      <c r="G252" s="98" t="s">
        <v>257</v>
      </c>
      <c r="H252" s="99">
        <v>48835</v>
      </c>
      <c r="I252" s="100">
        <v>5</v>
      </c>
    </row>
    <row r="253" spans="1:9" ht="13.5" x14ac:dyDescent="0.25">
      <c r="A253" s="94" t="s">
        <v>465</v>
      </c>
      <c r="B253" s="95" t="s">
        <v>245</v>
      </c>
      <c r="C253" s="94" t="s">
        <v>465</v>
      </c>
      <c r="D253" s="94" t="s">
        <v>252</v>
      </c>
      <c r="E253" s="96">
        <v>34519</v>
      </c>
      <c r="F253" s="97">
        <f t="shared" ca="1" si="10"/>
        <v>22</v>
      </c>
      <c r="G253" s="98"/>
      <c r="H253" s="99">
        <v>29176</v>
      </c>
      <c r="I253" s="100">
        <v>3</v>
      </c>
    </row>
    <row r="254" spans="1:9" ht="13.5" x14ac:dyDescent="0.25">
      <c r="A254" s="94" t="s">
        <v>465</v>
      </c>
      <c r="B254" s="95" t="s">
        <v>266</v>
      </c>
      <c r="C254" s="94" t="s">
        <v>465</v>
      </c>
      <c r="D254" s="94" t="s">
        <v>256</v>
      </c>
      <c r="E254" s="96">
        <v>34520</v>
      </c>
      <c r="F254" s="97">
        <f t="shared" ca="1" si="10"/>
        <v>22</v>
      </c>
      <c r="G254" s="98" t="s">
        <v>267</v>
      </c>
      <c r="H254" s="99">
        <v>35460</v>
      </c>
      <c r="I254" s="100">
        <v>5</v>
      </c>
    </row>
    <row r="255" spans="1:9" ht="13.5" x14ac:dyDescent="0.25">
      <c r="A255" s="94" t="s">
        <v>465</v>
      </c>
      <c r="B255" s="95" t="s">
        <v>251</v>
      </c>
      <c r="C255" s="94" t="s">
        <v>465</v>
      </c>
      <c r="D255" s="94" t="s">
        <v>247</v>
      </c>
      <c r="E255" s="96">
        <v>34617</v>
      </c>
      <c r="F255" s="97">
        <f t="shared" ca="1" si="10"/>
        <v>22</v>
      </c>
      <c r="G255" s="98"/>
      <c r="H255" s="99">
        <v>76910</v>
      </c>
      <c r="I255" s="100">
        <v>1</v>
      </c>
    </row>
    <row r="256" spans="1:9" ht="13.5" x14ac:dyDescent="0.25">
      <c r="A256" s="94" t="s">
        <v>465</v>
      </c>
      <c r="B256" s="95" t="s">
        <v>285</v>
      </c>
      <c r="C256" s="94" t="s">
        <v>465</v>
      </c>
      <c r="D256" s="94" t="s">
        <v>256</v>
      </c>
      <c r="E256" s="96">
        <v>34622</v>
      </c>
      <c r="F256" s="97">
        <f t="shared" ca="1" si="10"/>
        <v>22</v>
      </c>
      <c r="G256" s="98" t="s">
        <v>283</v>
      </c>
      <c r="H256" s="99">
        <v>89740</v>
      </c>
      <c r="I256" s="100">
        <v>5</v>
      </c>
    </row>
    <row r="257" spans="1:9" ht="13.5" x14ac:dyDescent="0.25">
      <c r="A257" s="94" t="s">
        <v>465</v>
      </c>
      <c r="B257" s="95" t="s">
        <v>245</v>
      </c>
      <c r="C257" s="94" t="s">
        <v>465</v>
      </c>
      <c r="D257" s="94" t="s">
        <v>256</v>
      </c>
      <c r="E257" s="96">
        <v>34628</v>
      </c>
      <c r="F257" s="97">
        <f t="shared" ca="1" si="10"/>
        <v>22</v>
      </c>
      <c r="G257" s="98" t="s">
        <v>267</v>
      </c>
      <c r="H257" s="99">
        <v>55450</v>
      </c>
      <c r="I257" s="100">
        <v>5</v>
      </c>
    </row>
    <row r="258" spans="1:9" ht="13.5" x14ac:dyDescent="0.25">
      <c r="A258" s="94" t="s">
        <v>465</v>
      </c>
      <c r="B258" s="95" t="s">
        <v>285</v>
      </c>
      <c r="C258" s="94" t="s">
        <v>465</v>
      </c>
      <c r="D258" s="94" t="s">
        <v>247</v>
      </c>
      <c r="E258" s="96">
        <v>34662</v>
      </c>
      <c r="F258" s="97">
        <f t="shared" ca="1" si="10"/>
        <v>21</v>
      </c>
      <c r="G258" s="98"/>
      <c r="H258" s="99">
        <v>71710</v>
      </c>
      <c r="I258" s="100">
        <v>5</v>
      </c>
    </row>
    <row r="259" spans="1:9" ht="13.5" x14ac:dyDescent="0.25">
      <c r="A259" s="94" t="s">
        <v>465</v>
      </c>
      <c r="B259" s="95" t="s">
        <v>285</v>
      </c>
      <c r="C259" s="94" t="s">
        <v>465</v>
      </c>
      <c r="D259" s="94" t="s">
        <v>252</v>
      </c>
      <c r="E259" s="96">
        <v>34672</v>
      </c>
      <c r="F259" s="97">
        <f t="shared" ca="1" si="10"/>
        <v>21</v>
      </c>
      <c r="G259" s="98"/>
      <c r="H259" s="99">
        <v>8904</v>
      </c>
      <c r="I259" s="100">
        <v>3</v>
      </c>
    </row>
    <row r="260" spans="1:9" ht="13.5" x14ac:dyDescent="0.25">
      <c r="A260" s="94" t="s">
        <v>465</v>
      </c>
      <c r="B260" s="95" t="s">
        <v>271</v>
      </c>
      <c r="C260" s="94" t="s">
        <v>465</v>
      </c>
      <c r="D260" s="94" t="s">
        <v>247</v>
      </c>
      <c r="E260" s="96">
        <v>34682</v>
      </c>
      <c r="F260" s="97">
        <f t="shared" ca="1" si="10"/>
        <v>21</v>
      </c>
      <c r="G260" s="98"/>
      <c r="H260" s="99">
        <v>68260</v>
      </c>
      <c r="I260" s="100">
        <v>5</v>
      </c>
    </row>
    <row r="261" spans="1:9" ht="13.5" x14ac:dyDescent="0.25">
      <c r="A261" s="94" t="s">
        <v>465</v>
      </c>
      <c r="B261" s="95" t="s">
        <v>271</v>
      </c>
      <c r="C261" s="94" t="s">
        <v>465</v>
      </c>
      <c r="D261" s="94" t="s">
        <v>256</v>
      </c>
      <c r="E261" s="96">
        <v>34686</v>
      </c>
      <c r="F261" s="97">
        <f t="shared" ca="1" si="10"/>
        <v>21</v>
      </c>
      <c r="G261" s="98" t="s">
        <v>257</v>
      </c>
      <c r="H261" s="99">
        <v>40340</v>
      </c>
      <c r="I261" s="100">
        <v>2</v>
      </c>
    </row>
    <row r="262" spans="1:9" ht="13.5" x14ac:dyDescent="0.25">
      <c r="A262" s="94" t="s">
        <v>465</v>
      </c>
      <c r="B262" s="95" t="s">
        <v>285</v>
      </c>
      <c r="C262" s="94" t="s">
        <v>465</v>
      </c>
      <c r="D262" s="94" t="s">
        <v>247</v>
      </c>
      <c r="E262" s="96">
        <v>34687</v>
      </c>
      <c r="F262" s="97">
        <f t="shared" ca="1" si="10"/>
        <v>21</v>
      </c>
      <c r="G262" s="98"/>
      <c r="H262" s="99">
        <v>72520</v>
      </c>
      <c r="I262" s="100">
        <v>3</v>
      </c>
    </row>
    <row r="263" spans="1:9" ht="13.5" x14ac:dyDescent="0.25">
      <c r="A263" s="94" t="s">
        <v>465</v>
      </c>
      <c r="B263" s="95" t="s">
        <v>271</v>
      </c>
      <c r="C263" s="94" t="s">
        <v>465</v>
      </c>
      <c r="D263" s="94" t="s">
        <v>256</v>
      </c>
      <c r="E263" s="96">
        <v>34699</v>
      </c>
      <c r="F263" s="97">
        <f t="shared" ref="F263:F326" ca="1" si="11">DATEDIF(E263,TODAY(),"Y")</f>
        <v>21</v>
      </c>
      <c r="G263" s="98" t="s">
        <v>257</v>
      </c>
      <c r="H263" s="99">
        <v>75120</v>
      </c>
      <c r="I263" s="100">
        <v>5</v>
      </c>
    </row>
    <row r="264" spans="1:9" ht="13.5" x14ac:dyDescent="0.25">
      <c r="A264" s="94" t="s">
        <v>465</v>
      </c>
      <c r="B264" s="95" t="s">
        <v>280</v>
      </c>
      <c r="C264" s="94" t="s">
        <v>465</v>
      </c>
      <c r="D264" s="94" t="s">
        <v>247</v>
      </c>
      <c r="E264" s="96">
        <v>34701</v>
      </c>
      <c r="F264" s="97">
        <f t="shared" ca="1" si="11"/>
        <v>21</v>
      </c>
      <c r="G264" s="98"/>
      <c r="H264" s="99">
        <v>45050</v>
      </c>
      <c r="I264" s="100">
        <v>1</v>
      </c>
    </row>
    <row r="265" spans="1:9" ht="13.5" x14ac:dyDescent="0.25">
      <c r="A265" s="94" t="s">
        <v>465</v>
      </c>
      <c r="B265" s="95" t="s">
        <v>280</v>
      </c>
      <c r="C265" s="94" t="s">
        <v>465</v>
      </c>
      <c r="D265" s="94" t="s">
        <v>252</v>
      </c>
      <c r="E265" s="96">
        <v>34757</v>
      </c>
      <c r="F265" s="97">
        <f t="shared" ca="1" si="11"/>
        <v>21</v>
      </c>
      <c r="G265" s="98"/>
      <c r="H265" s="99">
        <v>37612</v>
      </c>
      <c r="I265" s="100">
        <v>4</v>
      </c>
    </row>
    <row r="266" spans="1:9" ht="13.5" x14ac:dyDescent="0.25">
      <c r="A266" s="94" t="s">
        <v>465</v>
      </c>
      <c r="B266" s="95" t="s">
        <v>280</v>
      </c>
      <c r="C266" s="94" t="s">
        <v>465</v>
      </c>
      <c r="D266" s="94" t="s">
        <v>252</v>
      </c>
      <c r="E266" s="96">
        <v>34757</v>
      </c>
      <c r="F266" s="97">
        <f t="shared" ca="1" si="11"/>
        <v>21</v>
      </c>
      <c r="G266" s="98"/>
      <c r="H266" s="99">
        <v>37612</v>
      </c>
      <c r="I266" s="100">
        <v>4</v>
      </c>
    </row>
    <row r="267" spans="1:9" ht="13.5" x14ac:dyDescent="0.25">
      <c r="A267" s="94" t="s">
        <v>465</v>
      </c>
      <c r="B267" s="95" t="s">
        <v>280</v>
      </c>
      <c r="C267" s="94" t="s">
        <v>465</v>
      </c>
      <c r="D267" s="94" t="s">
        <v>256</v>
      </c>
      <c r="E267" s="96">
        <v>34774</v>
      </c>
      <c r="F267" s="97">
        <f t="shared" ca="1" si="11"/>
        <v>21</v>
      </c>
      <c r="G267" s="98" t="s">
        <v>257</v>
      </c>
      <c r="H267" s="99">
        <v>33210</v>
      </c>
      <c r="I267" s="100">
        <v>4</v>
      </c>
    </row>
    <row r="268" spans="1:9" ht="13.5" x14ac:dyDescent="0.25">
      <c r="A268" s="94" t="s">
        <v>465</v>
      </c>
      <c r="B268" s="95" t="s">
        <v>271</v>
      </c>
      <c r="C268" s="94" t="s">
        <v>465</v>
      </c>
      <c r="D268" s="94" t="s">
        <v>256</v>
      </c>
      <c r="E268" s="96">
        <v>34791</v>
      </c>
      <c r="F268" s="97">
        <f t="shared" ca="1" si="11"/>
        <v>21</v>
      </c>
      <c r="G268" s="98" t="s">
        <v>257</v>
      </c>
      <c r="H268" s="99">
        <v>88240</v>
      </c>
      <c r="I268" s="100">
        <v>5</v>
      </c>
    </row>
    <row r="269" spans="1:9" ht="13.5" x14ac:dyDescent="0.25">
      <c r="A269" s="94" t="s">
        <v>465</v>
      </c>
      <c r="B269" s="95" t="s">
        <v>245</v>
      </c>
      <c r="C269" s="94" t="s">
        <v>465</v>
      </c>
      <c r="D269" s="94" t="s">
        <v>256</v>
      </c>
      <c r="E269" s="96">
        <v>34812</v>
      </c>
      <c r="F269" s="97">
        <f t="shared" ca="1" si="11"/>
        <v>21</v>
      </c>
      <c r="G269" s="98" t="s">
        <v>262</v>
      </c>
      <c r="H269" s="99">
        <v>22660</v>
      </c>
      <c r="I269" s="100">
        <v>2</v>
      </c>
    </row>
    <row r="270" spans="1:9" ht="13.5" x14ac:dyDescent="0.25">
      <c r="A270" s="94" t="s">
        <v>465</v>
      </c>
      <c r="B270" s="95" t="s">
        <v>271</v>
      </c>
      <c r="C270" s="94" t="s">
        <v>465</v>
      </c>
      <c r="D270" s="94" t="s">
        <v>261</v>
      </c>
      <c r="E270" s="96">
        <v>34867</v>
      </c>
      <c r="F270" s="97">
        <f t="shared" ca="1" si="11"/>
        <v>21</v>
      </c>
      <c r="G270" s="98" t="s">
        <v>267</v>
      </c>
      <c r="H270" s="99">
        <v>21670</v>
      </c>
      <c r="I270" s="100">
        <v>2</v>
      </c>
    </row>
    <row r="271" spans="1:9" ht="13.5" x14ac:dyDescent="0.25">
      <c r="A271" s="94" t="s">
        <v>465</v>
      </c>
      <c r="B271" s="95" t="s">
        <v>251</v>
      </c>
      <c r="C271" s="94" t="s">
        <v>465</v>
      </c>
      <c r="D271" s="94" t="s">
        <v>256</v>
      </c>
      <c r="E271" s="96">
        <v>34888</v>
      </c>
      <c r="F271" s="97">
        <f t="shared" ca="1" si="11"/>
        <v>21</v>
      </c>
      <c r="G271" s="98" t="s">
        <v>276</v>
      </c>
      <c r="H271" s="99">
        <v>81400</v>
      </c>
      <c r="I271" s="100">
        <v>2</v>
      </c>
    </row>
    <row r="272" spans="1:9" ht="13.5" x14ac:dyDescent="0.25">
      <c r="A272" s="94" t="s">
        <v>465</v>
      </c>
      <c r="B272" s="95" t="s">
        <v>271</v>
      </c>
      <c r="C272" s="94" t="s">
        <v>465</v>
      </c>
      <c r="D272" s="94" t="s">
        <v>261</v>
      </c>
      <c r="E272" s="96">
        <v>34959</v>
      </c>
      <c r="F272" s="97">
        <f t="shared" ca="1" si="11"/>
        <v>21</v>
      </c>
      <c r="G272" s="98" t="s">
        <v>283</v>
      </c>
      <c r="H272" s="99">
        <v>48190</v>
      </c>
      <c r="I272" s="100">
        <v>1</v>
      </c>
    </row>
    <row r="273" spans="1:9" ht="13.5" x14ac:dyDescent="0.25">
      <c r="A273" s="94" t="s">
        <v>465</v>
      </c>
      <c r="B273" s="95" t="s">
        <v>271</v>
      </c>
      <c r="C273" s="94" t="s">
        <v>465</v>
      </c>
      <c r="D273" s="94" t="s">
        <v>261</v>
      </c>
      <c r="E273" s="96">
        <v>34959</v>
      </c>
      <c r="F273" s="97">
        <f t="shared" ca="1" si="11"/>
        <v>21</v>
      </c>
      <c r="G273" s="98" t="s">
        <v>283</v>
      </c>
      <c r="H273" s="99">
        <v>48190</v>
      </c>
      <c r="I273" s="100">
        <v>1</v>
      </c>
    </row>
    <row r="274" spans="1:9" ht="13.5" x14ac:dyDescent="0.25">
      <c r="A274" s="94" t="s">
        <v>465</v>
      </c>
      <c r="B274" s="95" t="s">
        <v>271</v>
      </c>
      <c r="C274" s="94" t="s">
        <v>465</v>
      </c>
      <c r="D274" s="94" t="s">
        <v>256</v>
      </c>
      <c r="E274" s="96">
        <v>34963</v>
      </c>
      <c r="F274" s="97">
        <f t="shared" ca="1" si="11"/>
        <v>21</v>
      </c>
      <c r="G274" s="98" t="s">
        <v>283</v>
      </c>
      <c r="H274" s="99">
        <v>61330</v>
      </c>
      <c r="I274" s="100">
        <v>4</v>
      </c>
    </row>
    <row r="275" spans="1:9" ht="13.5" x14ac:dyDescent="0.25">
      <c r="A275" s="94" t="s">
        <v>465</v>
      </c>
      <c r="B275" s="95" t="s">
        <v>280</v>
      </c>
      <c r="C275" s="94" t="s">
        <v>465</v>
      </c>
      <c r="D275" s="94" t="s">
        <v>247</v>
      </c>
      <c r="E275" s="96">
        <v>34973</v>
      </c>
      <c r="F275" s="97">
        <f t="shared" ca="1" si="11"/>
        <v>21</v>
      </c>
      <c r="G275" s="98"/>
      <c r="H275" s="99">
        <v>25130</v>
      </c>
      <c r="I275" s="100">
        <v>5</v>
      </c>
    </row>
    <row r="276" spans="1:9" ht="13.5" x14ac:dyDescent="0.25">
      <c r="A276" s="94" t="s">
        <v>465</v>
      </c>
      <c r="B276" s="95" t="s">
        <v>271</v>
      </c>
      <c r="C276" s="94" t="s">
        <v>465</v>
      </c>
      <c r="D276" s="94" t="s">
        <v>252</v>
      </c>
      <c r="E276" s="96">
        <v>34995</v>
      </c>
      <c r="F276" s="97">
        <f t="shared" ca="1" si="11"/>
        <v>21</v>
      </c>
      <c r="G276" s="98"/>
      <c r="H276" s="99">
        <v>9424</v>
      </c>
      <c r="I276" s="100">
        <v>4</v>
      </c>
    </row>
    <row r="277" spans="1:9" ht="13.5" x14ac:dyDescent="0.25">
      <c r="A277" s="94" t="s">
        <v>465</v>
      </c>
      <c r="B277" s="95" t="s">
        <v>285</v>
      </c>
      <c r="C277" s="94" t="s">
        <v>465</v>
      </c>
      <c r="D277" s="94" t="s">
        <v>256</v>
      </c>
      <c r="E277" s="96">
        <v>35008</v>
      </c>
      <c r="F277" s="97">
        <f t="shared" ca="1" si="11"/>
        <v>21</v>
      </c>
      <c r="G277" s="98" t="s">
        <v>283</v>
      </c>
      <c r="H277" s="99">
        <v>68750</v>
      </c>
      <c r="I277" s="100">
        <v>1</v>
      </c>
    </row>
    <row r="278" spans="1:9" ht="13.5" x14ac:dyDescent="0.25">
      <c r="A278" s="94" t="s">
        <v>465</v>
      </c>
      <c r="B278" s="95" t="s">
        <v>285</v>
      </c>
      <c r="C278" s="94" t="s">
        <v>465</v>
      </c>
      <c r="D278" s="94" t="s">
        <v>256</v>
      </c>
      <c r="E278" s="96">
        <v>35022</v>
      </c>
      <c r="F278" s="97">
        <f t="shared" ca="1" si="11"/>
        <v>20</v>
      </c>
      <c r="G278" s="98" t="s">
        <v>267</v>
      </c>
      <c r="H278" s="99">
        <v>37760</v>
      </c>
      <c r="I278" s="100">
        <v>2</v>
      </c>
    </row>
    <row r="279" spans="1:9" ht="13.5" x14ac:dyDescent="0.25">
      <c r="A279" s="94" t="s">
        <v>465</v>
      </c>
      <c r="B279" s="95" t="s">
        <v>266</v>
      </c>
      <c r="C279" s="94" t="s">
        <v>465</v>
      </c>
      <c r="D279" s="94" t="s">
        <v>247</v>
      </c>
      <c r="E279" s="96">
        <v>35040</v>
      </c>
      <c r="F279" s="97">
        <f t="shared" ca="1" si="11"/>
        <v>20</v>
      </c>
      <c r="G279" s="98"/>
      <c r="H279" s="99">
        <v>27380</v>
      </c>
      <c r="I279" s="100">
        <v>3</v>
      </c>
    </row>
    <row r="280" spans="1:9" ht="13.5" x14ac:dyDescent="0.25">
      <c r="A280" s="94" t="s">
        <v>465</v>
      </c>
      <c r="B280" s="95" t="s">
        <v>285</v>
      </c>
      <c r="C280" s="94" t="s">
        <v>465</v>
      </c>
      <c r="D280" s="94" t="s">
        <v>261</v>
      </c>
      <c r="E280" s="96">
        <v>35050</v>
      </c>
      <c r="F280" s="97">
        <f t="shared" ca="1" si="11"/>
        <v>20</v>
      </c>
      <c r="G280" s="98" t="s">
        <v>283</v>
      </c>
      <c r="H280" s="99">
        <v>11065</v>
      </c>
      <c r="I280" s="100">
        <v>1</v>
      </c>
    </row>
    <row r="281" spans="1:9" ht="13.5" x14ac:dyDescent="0.25">
      <c r="A281" s="94" t="s">
        <v>465</v>
      </c>
      <c r="B281" s="95" t="s">
        <v>280</v>
      </c>
      <c r="C281" s="94" t="s">
        <v>465</v>
      </c>
      <c r="D281" s="94" t="s">
        <v>256</v>
      </c>
      <c r="E281" s="96">
        <v>35103</v>
      </c>
      <c r="F281" s="97">
        <f t="shared" ca="1" si="11"/>
        <v>20</v>
      </c>
      <c r="G281" s="98" t="s">
        <v>257</v>
      </c>
      <c r="H281" s="99">
        <v>40060</v>
      </c>
      <c r="I281" s="100">
        <v>3</v>
      </c>
    </row>
    <row r="282" spans="1:9" ht="13.5" x14ac:dyDescent="0.25">
      <c r="A282" s="94" t="s">
        <v>465</v>
      </c>
      <c r="B282" s="95" t="s">
        <v>285</v>
      </c>
      <c r="C282" s="94" t="s">
        <v>465</v>
      </c>
      <c r="D282" s="94" t="s">
        <v>261</v>
      </c>
      <c r="E282" s="96">
        <v>35112</v>
      </c>
      <c r="F282" s="97">
        <f t="shared" ca="1" si="11"/>
        <v>20</v>
      </c>
      <c r="G282" s="98" t="s">
        <v>283</v>
      </c>
      <c r="H282" s="99">
        <v>17270</v>
      </c>
      <c r="I282" s="100">
        <v>5</v>
      </c>
    </row>
    <row r="283" spans="1:9" ht="13.5" x14ac:dyDescent="0.25">
      <c r="A283" s="94" t="s">
        <v>465</v>
      </c>
      <c r="B283" s="95" t="s">
        <v>285</v>
      </c>
      <c r="C283" s="94" t="s">
        <v>465</v>
      </c>
      <c r="D283" s="94" t="s">
        <v>256</v>
      </c>
      <c r="E283" s="96">
        <v>35121</v>
      </c>
      <c r="F283" s="97">
        <f t="shared" ca="1" si="11"/>
        <v>20</v>
      </c>
      <c r="G283" s="98" t="s">
        <v>257</v>
      </c>
      <c r="H283" s="99">
        <v>35820</v>
      </c>
      <c r="I283" s="100">
        <v>2</v>
      </c>
    </row>
    <row r="284" spans="1:9" ht="13.5" x14ac:dyDescent="0.25">
      <c r="A284" s="94" t="s">
        <v>465</v>
      </c>
      <c r="B284" s="95" t="s">
        <v>245</v>
      </c>
      <c r="C284" s="94" t="s">
        <v>465</v>
      </c>
      <c r="D284" s="94" t="s">
        <v>256</v>
      </c>
      <c r="E284" s="96">
        <v>35134</v>
      </c>
      <c r="F284" s="97">
        <f t="shared" ca="1" si="11"/>
        <v>20</v>
      </c>
      <c r="G284" s="98" t="s">
        <v>257</v>
      </c>
      <c r="H284" s="99">
        <v>67280</v>
      </c>
      <c r="I284" s="100">
        <v>3</v>
      </c>
    </row>
    <row r="285" spans="1:9" ht="13.5" x14ac:dyDescent="0.25">
      <c r="A285" s="94" t="s">
        <v>465</v>
      </c>
      <c r="B285" s="95" t="s">
        <v>271</v>
      </c>
      <c r="C285" s="94" t="s">
        <v>465</v>
      </c>
      <c r="D285" s="94" t="s">
        <v>247</v>
      </c>
      <c r="E285" s="96">
        <v>35145</v>
      </c>
      <c r="F285" s="97">
        <f t="shared" ca="1" si="11"/>
        <v>20</v>
      </c>
      <c r="G285" s="98"/>
      <c r="H285" s="99">
        <v>23810</v>
      </c>
      <c r="I285" s="100">
        <v>4</v>
      </c>
    </row>
    <row r="286" spans="1:9" ht="13.5" x14ac:dyDescent="0.25">
      <c r="A286" s="94" t="s">
        <v>465</v>
      </c>
      <c r="B286" s="95" t="s">
        <v>271</v>
      </c>
      <c r="C286" s="94" t="s">
        <v>465</v>
      </c>
      <c r="D286" s="94" t="s">
        <v>261</v>
      </c>
      <c r="E286" s="96">
        <v>35193</v>
      </c>
      <c r="F286" s="97">
        <f t="shared" ca="1" si="11"/>
        <v>20</v>
      </c>
      <c r="G286" s="98" t="s">
        <v>267</v>
      </c>
      <c r="H286" s="99">
        <v>41615</v>
      </c>
      <c r="I286" s="100">
        <v>1</v>
      </c>
    </row>
    <row r="287" spans="1:9" ht="13.5" x14ac:dyDescent="0.25">
      <c r="A287" s="94" t="s">
        <v>465</v>
      </c>
      <c r="B287" s="95" t="s">
        <v>271</v>
      </c>
      <c r="C287" s="94" t="s">
        <v>465</v>
      </c>
      <c r="D287" s="94" t="s">
        <v>256</v>
      </c>
      <c r="E287" s="96">
        <v>35225</v>
      </c>
      <c r="F287" s="97">
        <f t="shared" ca="1" si="11"/>
        <v>20</v>
      </c>
      <c r="G287" s="98" t="s">
        <v>257</v>
      </c>
      <c r="H287" s="99">
        <v>76192</v>
      </c>
      <c r="I287" s="100">
        <v>4</v>
      </c>
    </row>
    <row r="288" spans="1:9" ht="13.5" x14ac:dyDescent="0.25">
      <c r="A288" s="94" t="s">
        <v>465</v>
      </c>
      <c r="B288" s="95" t="s">
        <v>280</v>
      </c>
      <c r="C288" s="94" t="s">
        <v>465</v>
      </c>
      <c r="D288" s="94" t="s">
        <v>247</v>
      </c>
      <c r="E288" s="96">
        <v>35290</v>
      </c>
      <c r="F288" s="97">
        <f t="shared" ca="1" si="11"/>
        <v>20</v>
      </c>
      <c r="G288" s="98"/>
      <c r="H288" s="99">
        <v>41840</v>
      </c>
      <c r="I288" s="100">
        <v>2</v>
      </c>
    </row>
    <row r="289" spans="1:9" ht="13.5" x14ac:dyDescent="0.25">
      <c r="A289" s="94" t="s">
        <v>465</v>
      </c>
      <c r="B289" s="95" t="s">
        <v>285</v>
      </c>
      <c r="C289" s="94" t="s">
        <v>465</v>
      </c>
      <c r="D289" s="94" t="s">
        <v>261</v>
      </c>
      <c r="E289" s="96">
        <v>35294</v>
      </c>
      <c r="F289" s="97">
        <f t="shared" ca="1" si="11"/>
        <v>20</v>
      </c>
      <c r="G289" s="98" t="s">
        <v>283</v>
      </c>
      <c r="H289" s="99">
        <v>46710</v>
      </c>
      <c r="I289" s="100">
        <v>3</v>
      </c>
    </row>
    <row r="290" spans="1:9" ht="13.5" x14ac:dyDescent="0.25">
      <c r="A290" s="94" t="s">
        <v>465</v>
      </c>
      <c r="B290" s="95" t="s">
        <v>271</v>
      </c>
      <c r="C290" s="94" t="s">
        <v>465</v>
      </c>
      <c r="D290" s="94" t="s">
        <v>247</v>
      </c>
      <c r="E290" s="96">
        <v>35327</v>
      </c>
      <c r="F290" s="97">
        <f t="shared" ca="1" si="11"/>
        <v>20</v>
      </c>
      <c r="G290" s="98"/>
      <c r="H290" s="99">
        <v>57600</v>
      </c>
      <c r="I290" s="100">
        <v>3</v>
      </c>
    </row>
    <row r="291" spans="1:9" ht="13.5" x14ac:dyDescent="0.25">
      <c r="A291" s="94" t="s">
        <v>465</v>
      </c>
      <c r="B291" s="95" t="s">
        <v>245</v>
      </c>
      <c r="C291" s="94" t="s">
        <v>465</v>
      </c>
      <c r="D291" s="94" t="s">
        <v>256</v>
      </c>
      <c r="E291" s="96">
        <v>35388</v>
      </c>
      <c r="F291" s="97">
        <f t="shared" ca="1" si="11"/>
        <v>19</v>
      </c>
      <c r="G291" s="98" t="s">
        <v>267</v>
      </c>
      <c r="H291" s="99">
        <v>23650</v>
      </c>
      <c r="I291" s="100">
        <v>1</v>
      </c>
    </row>
    <row r="292" spans="1:9" ht="13.5" x14ac:dyDescent="0.25">
      <c r="A292" s="94" t="s">
        <v>465</v>
      </c>
      <c r="B292" s="95" t="s">
        <v>280</v>
      </c>
      <c r="C292" s="94" t="s">
        <v>465</v>
      </c>
      <c r="D292" s="94" t="s">
        <v>247</v>
      </c>
      <c r="E292" s="96">
        <v>35394</v>
      </c>
      <c r="F292" s="97">
        <f t="shared" ca="1" si="11"/>
        <v>19</v>
      </c>
      <c r="G292" s="98"/>
      <c r="H292" s="99">
        <v>57760</v>
      </c>
      <c r="I292" s="100">
        <v>3</v>
      </c>
    </row>
    <row r="293" spans="1:9" ht="13.5" x14ac:dyDescent="0.25">
      <c r="A293" s="94" t="s">
        <v>465</v>
      </c>
      <c r="B293" s="95" t="s">
        <v>285</v>
      </c>
      <c r="C293" s="94" t="s">
        <v>465</v>
      </c>
      <c r="D293" s="94" t="s">
        <v>256</v>
      </c>
      <c r="E293" s="96">
        <v>35397</v>
      </c>
      <c r="F293" s="97">
        <f t="shared" ca="1" si="11"/>
        <v>19</v>
      </c>
      <c r="G293" s="98" t="s">
        <v>276</v>
      </c>
      <c r="H293" s="99">
        <v>38870</v>
      </c>
      <c r="I293" s="100">
        <v>2</v>
      </c>
    </row>
    <row r="294" spans="1:9" ht="13.5" x14ac:dyDescent="0.25">
      <c r="A294" s="94" t="s">
        <v>465</v>
      </c>
      <c r="B294" s="95" t="s">
        <v>285</v>
      </c>
      <c r="C294" s="94" t="s">
        <v>465</v>
      </c>
      <c r="D294" s="94" t="s">
        <v>247</v>
      </c>
      <c r="E294" s="96">
        <v>35408</v>
      </c>
      <c r="F294" s="97">
        <f t="shared" ca="1" si="11"/>
        <v>19</v>
      </c>
      <c r="G294" s="98"/>
      <c r="H294" s="99">
        <v>89520</v>
      </c>
      <c r="I294" s="100">
        <v>5</v>
      </c>
    </row>
    <row r="295" spans="1:9" ht="13.5" x14ac:dyDescent="0.25">
      <c r="A295" s="94" t="s">
        <v>465</v>
      </c>
      <c r="B295" s="95" t="s">
        <v>285</v>
      </c>
      <c r="C295" s="94" t="s">
        <v>465</v>
      </c>
      <c r="D295" s="94" t="s">
        <v>247</v>
      </c>
      <c r="E295" s="96">
        <v>35419</v>
      </c>
      <c r="F295" s="97">
        <f t="shared" ca="1" si="11"/>
        <v>19</v>
      </c>
      <c r="G295" s="98"/>
      <c r="H295" s="99">
        <v>45420</v>
      </c>
      <c r="I295" s="100">
        <v>1</v>
      </c>
    </row>
    <row r="296" spans="1:9" ht="13.5" x14ac:dyDescent="0.25">
      <c r="A296" s="94" t="s">
        <v>465</v>
      </c>
      <c r="B296" s="95" t="s">
        <v>285</v>
      </c>
      <c r="C296" s="94" t="s">
        <v>465</v>
      </c>
      <c r="D296" s="94" t="s">
        <v>247</v>
      </c>
      <c r="E296" s="96">
        <v>35667</v>
      </c>
      <c r="F296" s="97">
        <f t="shared" ca="1" si="11"/>
        <v>19</v>
      </c>
      <c r="G296" s="98"/>
      <c r="H296" s="99">
        <v>68510</v>
      </c>
      <c r="I296" s="100">
        <v>5</v>
      </c>
    </row>
    <row r="297" spans="1:9" ht="13.5" x14ac:dyDescent="0.25">
      <c r="A297" s="94" t="s">
        <v>465</v>
      </c>
      <c r="B297" s="95" t="s">
        <v>285</v>
      </c>
      <c r="C297" s="94" t="s">
        <v>465</v>
      </c>
      <c r="D297" s="94" t="s">
        <v>256</v>
      </c>
      <c r="E297" s="96">
        <v>35758</v>
      </c>
      <c r="F297" s="97">
        <f t="shared" ca="1" si="11"/>
        <v>18</v>
      </c>
      <c r="G297" s="98" t="s">
        <v>262</v>
      </c>
      <c r="H297" s="99">
        <v>66010</v>
      </c>
      <c r="I297" s="100">
        <v>5</v>
      </c>
    </row>
    <row r="298" spans="1:9" ht="13.5" x14ac:dyDescent="0.25">
      <c r="A298" s="94" t="s">
        <v>465</v>
      </c>
      <c r="B298" s="95" t="s">
        <v>280</v>
      </c>
      <c r="C298" s="94" t="s">
        <v>465</v>
      </c>
      <c r="D298" s="94" t="s">
        <v>256</v>
      </c>
      <c r="E298" s="96">
        <v>35919</v>
      </c>
      <c r="F298" s="97">
        <f t="shared" ca="1" si="11"/>
        <v>18</v>
      </c>
      <c r="G298" s="98" t="s">
        <v>283</v>
      </c>
      <c r="H298" s="99">
        <v>25310</v>
      </c>
      <c r="I298" s="100">
        <v>4</v>
      </c>
    </row>
    <row r="299" spans="1:9" ht="13.5" x14ac:dyDescent="0.25">
      <c r="A299" s="94" t="s">
        <v>465</v>
      </c>
      <c r="B299" s="95" t="s">
        <v>251</v>
      </c>
      <c r="C299" s="94" t="s">
        <v>465</v>
      </c>
      <c r="D299" s="94" t="s">
        <v>247</v>
      </c>
      <c r="E299" s="96">
        <v>36016</v>
      </c>
      <c r="F299" s="97">
        <f t="shared" ca="1" si="11"/>
        <v>18</v>
      </c>
      <c r="G299" s="98"/>
      <c r="H299" s="99">
        <v>52770</v>
      </c>
      <c r="I299" s="100">
        <v>2</v>
      </c>
    </row>
    <row r="300" spans="1:9" ht="13.5" x14ac:dyDescent="0.25">
      <c r="A300" s="94" t="s">
        <v>465</v>
      </c>
      <c r="B300" s="95" t="s">
        <v>271</v>
      </c>
      <c r="C300" s="94" t="s">
        <v>465</v>
      </c>
      <c r="D300" s="94" t="s">
        <v>256</v>
      </c>
      <c r="E300" s="96">
        <v>36021</v>
      </c>
      <c r="F300" s="97">
        <f t="shared" ca="1" si="11"/>
        <v>18</v>
      </c>
      <c r="G300" s="98" t="s">
        <v>283</v>
      </c>
      <c r="H300" s="99">
        <v>62750</v>
      </c>
      <c r="I300" s="100">
        <v>3</v>
      </c>
    </row>
    <row r="301" spans="1:9" ht="13.5" x14ac:dyDescent="0.25">
      <c r="A301" s="94" t="s">
        <v>465</v>
      </c>
      <c r="B301" s="95" t="s">
        <v>285</v>
      </c>
      <c r="C301" s="94" t="s">
        <v>465</v>
      </c>
      <c r="D301" s="94" t="s">
        <v>256</v>
      </c>
      <c r="E301" s="96">
        <v>36084</v>
      </c>
      <c r="F301" s="97">
        <f t="shared" ca="1" si="11"/>
        <v>18</v>
      </c>
      <c r="G301" s="98" t="s">
        <v>257</v>
      </c>
      <c r="H301" s="99">
        <v>28970</v>
      </c>
      <c r="I301" s="100">
        <v>3</v>
      </c>
    </row>
    <row r="302" spans="1:9" ht="13.5" x14ac:dyDescent="0.25">
      <c r="A302" s="94" t="s">
        <v>465</v>
      </c>
      <c r="B302" s="95" t="s">
        <v>271</v>
      </c>
      <c r="C302" s="94" t="s">
        <v>465</v>
      </c>
      <c r="D302" s="94" t="s">
        <v>256</v>
      </c>
      <c r="E302" s="96">
        <v>36126</v>
      </c>
      <c r="F302" s="97">
        <f t="shared" ca="1" si="11"/>
        <v>17</v>
      </c>
      <c r="G302" s="98" t="s">
        <v>267</v>
      </c>
      <c r="H302" s="99">
        <v>64130</v>
      </c>
      <c r="I302" s="100">
        <v>1</v>
      </c>
    </row>
    <row r="303" spans="1:9" ht="13.5" x14ac:dyDescent="0.25">
      <c r="A303" s="94" t="s">
        <v>465</v>
      </c>
      <c r="B303" s="95" t="s">
        <v>271</v>
      </c>
      <c r="C303" s="94" t="s">
        <v>465</v>
      </c>
      <c r="D303" s="94" t="s">
        <v>256</v>
      </c>
      <c r="E303" s="96">
        <v>36199</v>
      </c>
      <c r="F303" s="97">
        <f t="shared" ca="1" si="11"/>
        <v>17</v>
      </c>
      <c r="G303" s="98" t="s">
        <v>283</v>
      </c>
      <c r="H303" s="99">
        <v>69080</v>
      </c>
      <c r="I303" s="100">
        <v>3</v>
      </c>
    </row>
    <row r="304" spans="1:9" ht="13.5" x14ac:dyDescent="0.25">
      <c r="A304" s="94" t="s">
        <v>465</v>
      </c>
      <c r="B304" s="95" t="s">
        <v>245</v>
      </c>
      <c r="C304" s="94" t="s">
        <v>465</v>
      </c>
      <c r="D304" s="94" t="s">
        <v>261</v>
      </c>
      <c r="E304" s="96">
        <v>36310</v>
      </c>
      <c r="F304" s="97">
        <f t="shared" ca="1" si="11"/>
        <v>17</v>
      </c>
      <c r="G304" s="98" t="s">
        <v>257</v>
      </c>
      <c r="H304" s="99">
        <v>24460</v>
      </c>
      <c r="I304" s="100">
        <v>1</v>
      </c>
    </row>
    <row r="305" spans="1:9" ht="13.5" x14ac:dyDescent="0.25">
      <c r="A305" s="94" t="s">
        <v>465</v>
      </c>
      <c r="B305" s="95" t="s">
        <v>285</v>
      </c>
      <c r="C305" s="94" t="s">
        <v>465</v>
      </c>
      <c r="D305" s="94" t="s">
        <v>247</v>
      </c>
      <c r="E305" s="96">
        <v>36324</v>
      </c>
      <c r="F305" s="97">
        <f t="shared" ca="1" si="11"/>
        <v>17</v>
      </c>
      <c r="G305" s="98"/>
      <c r="H305" s="99">
        <v>61370</v>
      </c>
      <c r="I305" s="100">
        <v>3</v>
      </c>
    </row>
    <row r="306" spans="1:9" ht="13.5" x14ac:dyDescent="0.25">
      <c r="A306" s="94" t="s">
        <v>465</v>
      </c>
      <c r="B306" s="95" t="s">
        <v>285</v>
      </c>
      <c r="C306" s="94" t="s">
        <v>465</v>
      </c>
      <c r="D306" s="94" t="s">
        <v>252</v>
      </c>
      <c r="E306" s="96">
        <v>36420</v>
      </c>
      <c r="F306" s="97">
        <f t="shared" ca="1" si="11"/>
        <v>17</v>
      </c>
      <c r="G306" s="98"/>
      <c r="H306" s="99">
        <v>8892</v>
      </c>
      <c r="I306" s="100">
        <v>1</v>
      </c>
    </row>
    <row r="307" spans="1:9" ht="13.5" x14ac:dyDescent="0.25">
      <c r="A307" s="94" t="s">
        <v>465</v>
      </c>
      <c r="B307" s="95" t="s">
        <v>266</v>
      </c>
      <c r="C307" s="94" t="s">
        <v>465</v>
      </c>
      <c r="D307" s="94" t="s">
        <v>247</v>
      </c>
      <c r="E307" s="96">
        <v>36510</v>
      </c>
      <c r="F307" s="97">
        <f t="shared" ca="1" si="11"/>
        <v>16</v>
      </c>
      <c r="G307" s="98"/>
      <c r="H307" s="99">
        <v>75420</v>
      </c>
      <c r="I307" s="100">
        <v>1</v>
      </c>
    </row>
    <row r="308" spans="1:9" ht="13.5" x14ac:dyDescent="0.25">
      <c r="A308" s="94" t="s">
        <v>465</v>
      </c>
      <c r="B308" s="95" t="s">
        <v>285</v>
      </c>
      <c r="C308" s="94" t="s">
        <v>465</v>
      </c>
      <c r="D308" s="94" t="s">
        <v>256</v>
      </c>
      <c r="E308" s="96">
        <v>36556</v>
      </c>
      <c r="F308" s="97">
        <f t="shared" ca="1" si="11"/>
        <v>16</v>
      </c>
      <c r="G308" s="98" t="s">
        <v>262</v>
      </c>
      <c r="H308" s="99">
        <v>54230</v>
      </c>
      <c r="I308" s="100">
        <v>5</v>
      </c>
    </row>
    <row r="309" spans="1:9" ht="13.5" x14ac:dyDescent="0.25">
      <c r="A309" s="94" t="s">
        <v>465</v>
      </c>
      <c r="B309" s="95" t="s">
        <v>266</v>
      </c>
      <c r="C309" s="94" t="s">
        <v>465</v>
      </c>
      <c r="D309" s="94" t="s">
        <v>247</v>
      </c>
      <c r="E309" s="96">
        <v>36589</v>
      </c>
      <c r="F309" s="97">
        <f t="shared" ca="1" si="11"/>
        <v>16</v>
      </c>
      <c r="G309" s="98"/>
      <c r="H309" s="99">
        <v>64220</v>
      </c>
      <c r="I309" s="100">
        <v>5</v>
      </c>
    </row>
    <row r="310" spans="1:9" ht="13.5" x14ac:dyDescent="0.25">
      <c r="A310" s="94" t="s">
        <v>465</v>
      </c>
      <c r="B310" s="95" t="s">
        <v>266</v>
      </c>
      <c r="C310" s="94" t="s">
        <v>465</v>
      </c>
      <c r="D310" s="94" t="s">
        <v>256</v>
      </c>
      <c r="E310" s="96">
        <v>36626</v>
      </c>
      <c r="F310" s="97">
        <f t="shared" ca="1" si="11"/>
        <v>16</v>
      </c>
      <c r="G310" s="98" t="s">
        <v>283</v>
      </c>
      <c r="H310" s="99">
        <v>30920</v>
      </c>
      <c r="I310" s="100">
        <v>5</v>
      </c>
    </row>
    <row r="311" spans="1:9" ht="13.5" x14ac:dyDescent="0.25">
      <c r="A311" s="94" t="s">
        <v>465</v>
      </c>
      <c r="B311" s="95" t="s">
        <v>271</v>
      </c>
      <c r="C311" s="94" t="s">
        <v>465</v>
      </c>
      <c r="D311" s="94" t="s">
        <v>256</v>
      </c>
      <c r="E311" s="96">
        <v>36633</v>
      </c>
      <c r="F311" s="97">
        <f t="shared" ca="1" si="11"/>
        <v>16</v>
      </c>
      <c r="G311" s="98" t="s">
        <v>257</v>
      </c>
      <c r="H311" s="99">
        <v>75176</v>
      </c>
      <c r="I311" s="100">
        <v>3</v>
      </c>
    </row>
    <row r="312" spans="1:9" ht="13.5" x14ac:dyDescent="0.25">
      <c r="A312" s="94" t="s">
        <v>465</v>
      </c>
      <c r="B312" s="95" t="s">
        <v>285</v>
      </c>
      <c r="C312" s="94" t="s">
        <v>465</v>
      </c>
      <c r="D312" s="94" t="s">
        <v>247</v>
      </c>
      <c r="E312" s="96">
        <v>36734</v>
      </c>
      <c r="F312" s="97">
        <f t="shared" ca="1" si="11"/>
        <v>16</v>
      </c>
      <c r="G312" s="98"/>
      <c r="H312" s="99">
        <v>57410</v>
      </c>
      <c r="I312" s="100">
        <v>2</v>
      </c>
    </row>
    <row r="313" spans="1:9" ht="13.5" x14ac:dyDescent="0.25">
      <c r="A313" s="94" t="s">
        <v>465</v>
      </c>
      <c r="B313" s="95" t="s">
        <v>285</v>
      </c>
      <c r="C313" s="94" t="s">
        <v>465</v>
      </c>
      <c r="D313" s="94" t="s">
        <v>247</v>
      </c>
      <c r="E313" s="96">
        <v>36763</v>
      </c>
      <c r="F313" s="97">
        <f t="shared" ca="1" si="11"/>
        <v>16</v>
      </c>
      <c r="G313" s="98"/>
      <c r="H313" s="99">
        <v>39300</v>
      </c>
      <c r="I313" s="100">
        <v>2</v>
      </c>
    </row>
    <row r="314" spans="1:9" ht="13.5" x14ac:dyDescent="0.25">
      <c r="A314" s="94" t="s">
        <v>465</v>
      </c>
      <c r="B314" s="95" t="s">
        <v>245</v>
      </c>
      <c r="C314" s="94" t="s">
        <v>465</v>
      </c>
      <c r="D314" s="94" t="s">
        <v>256</v>
      </c>
      <c r="E314" s="96">
        <v>36836</v>
      </c>
      <c r="F314" s="97">
        <f t="shared" ca="1" si="11"/>
        <v>16</v>
      </c>
      <c r="G314" s="98" t="s">
        <v>257</v>
      </c>
      <c r="H314" s="99">
        <v>47340</v>
      </c>
      <c r="I314" s="100">
        <v>2</v>
      </c>
    </row>
    <row r="315" spans="1:9" ht="13.5" x14ac:dyDescent="0.25">
      <c r="A315" s="94" t="s">
        <v>465</v>
      </c>
      <c r="B315" s="95" t="s">
        <v>245</v>
      </c>
      <c r="C315" s="94" t="s">
        <v>465</v>
      </c>
      <c r="D315" s="94" t="s">
        <v>247</v>
      </c>
      <c r="E315" s="96">
        <v>36979</v>
      </c>
      <c r="F315" s="97">
        <f t="shared" ca="1" si="11"/>
        <v>15</v>
      </c>
      <c r="G315" s="98"/>
      <c r="H315" s="99">
        <v>71830</v>
      </c>
      <c r="I315" s="100">
        <v>3</v>
      </c>
    </row>
    <row r="316" spans="1:9" ht="13.5" x14ac:dyDescent="0.25">
      <c r="A316" s="94" t="s">
        <v>465</v>
      </c>
      <c r="B316" s="95" t="s">
        <v>285</v>
      </c>
      <c r="C316" s="94" t="s">
        <v>465</v>
      </c>
      <c r="D316" s="94" t="s">
        <v>247</v>
      </c>
      <c r="E316" s="96">
        <v>37011</v>
      </c>
      <c r="F316" s="97">
        <f t="shared" ca="1" si="11"/>
        <v>15</v>
      </c>
      <c r="G316" s="98"/>
      <c r="H316" s="99">
        <v>37980</v>
      </c>
      <c r="I316" s="100">
        <v>4</v>
      </c>
    </row>
    <row r="317" spans="1:9" ht="13.5" x14ac:dyDescent="0.25">
      <c r="A317" s="94" t="s">
        <v>465</v>
      </c>
      <c r="B317" s="95" t="s">
        <v>266</v>
      </c>
      <c r="C317" s="94" t="s">
        <v>465</v>
      </c>
      <c r="D317" s="94" t="s">
        <v>256</v>
      </c>
      <c r="E317" s="96">
        <v>37011</v>
      </c>
      <c r="F317" s="97">
        <f t="shared" ca="1" si="11"/>
        <v>15</v>
      </c>
      <c r="G317" s="98" t="s">
        <v>262</v>
      </c>
      <c r="H317" s="99">
        <v>70760</v>
      </c>
      <c r="I317" s="100">
        <v>1</v>
      </c>
    </row>
    <row r="318" spans="1:9" ht="13.5" x14ac:dyDescent="0.25">
      <c r="A318" s="94" t="s">
        <v>465</v>
      </c>
      <c r="B318" s="95" t="s">
        <v>285</v>
      </c>
      <c r="C318" s="94" t="s">
        <v>465</v>
      </c>
      <c r="D318" s="94" t="s">
        <v>256</v>
      </c>
      <c r="E318" s="96">
        <v>37067</v>
      </c>
      <c r="F318" s="97">
        <f t="shared" ca="1" si="11"/>
        <v>15</v>
      </c>
      <c r="G318" s="98" t="s">
        <v>257</v>
      </c>
      <c r="H318" s="99">
        <v>87760</v>
      </c>
      <c r="I318" s="100">
        <v>1</v>
      </c>
    </row>
    <row r="319" spans="1:9" ht="13.5" x14ac:dyDescent="0.25">
      <c r="A319" s="94" t="s">
        <v>465</v>
      </c>
      <c r="B319" s="95" t="s">
        <v>280</v>
      </c>
      <c r="C319" s="94" t="s">
        <v>465</v>
      </c>
      <c r="D319" s="94" t="s">
        <v>256</v>
      </c>
      <c r="E319" s="96">
        <v>37067</v>
      </c>
      <c r="F319" s="97">
        <f t="shared" ca="1" si="11"/>
        <v>15</v>
      </c>
      <c r="G319" s="98" t="s">
        <v>257</v>
      </c>
      <c r="H319" s="99">
        <v>41060</v>
      </c>
      <c r="I319" s="100">
        <v>3</v>
      </c>
    </row>
    <row r="320" spans="1:9" ht="13.5" x14ac:dyDescent="0.25">
      <c r="A320" s="94" t="s">
        <v>465</v>
      </c>
      <c r="B320" s="95" t="s">
        <v>285</v>
      </c>
      <c r="C320" s="94" t="s">
        <v>465</v>
      </c>
      <c r="D320" s="94" t="s">
        <v>247</v>
      </c>
      <c r="E320" s="96">
        <v>37197</v>
      </c>
      <c r="F320" s="97">
        <f t="shared" ca="1" si="11"/>
        <v>15</v>
      </c>
      <c r="G320" s="98"/>
      <c r="H320" s="99">
        <v>40940</v>
      </c>
      <c r="I320" s="100">
        <v>2</v>
      </c>
    </row>
    <row r="321" spans="1:9" ht="13.5" x14ac:dyDescent="0.25">
      <c r="A321" s="94" t="s">
        <v>465</v>
      </c>
      <c r="B321" s="95" t="s">
        <v>245</v>
      </c>
      <c r="C321" s="94" t="s">
        <v>465</v>
      </c>
      <c r="D321" s="94" t="s">
        <v>247</v>
      </c>
      <c r="E321" s="96">
        <v>37227</v>
      </c>
      <c r="F321" s="97">
        <f t="shared" ca="1" si="11"/>
        <v>14</v>
      </c>
      <c r="G321" s="98"/>
      <c r="H321" s="99">
        <v>39680</v>
      </c>
      <c r="I321" s="100">
        <v>1</v>
      </c>
    </row>
    <row r="322" spans="1:9" ht="13.5" x14ac:dyDescent="0.25">
      <c r="A322" s="94" t="s">
        <v>465</v>
      </c>
      <c r="B322" s="95" t="s">
        <v>285</v>
      </c>
      <c r="C322" s="94" t="s">
        <v>465</v>
      </c>
      <c r="D322" s="94" t="s">
        <v>256</v>
      </c>
      <c r="E322" s="96">
        <v>37354</v>
      </c>
      <c r="F322" s="97">
        <f t="shared" ca="1" si="11"/>
        <v>14</v>
      </c>
      <c r="G322" s="98" t="s">
        <v>257</v>
      </c>
      <c r="H322" s="99">
        <v>61060</v>
      </c>
      <c r="I322" s="100">
        <v>5</v>
      </c>
    </row>
    <row r="323" spans="1:9" ht="13.5" x14ac:dyDescent="0.25">
      <c r="A323" s="94" t="s">
        <v>465</v>
      </c>
      <c r="B323" s="95" t="s">
        <v>245</v>
      </c>
      <c r="C323" s="94" t="s">
        <v>465</v>
      </c>
      <c r="D323" s="94" t="s">
        <v>256</v>
      </c>
      <c r="E323" s="96">
        <v>37423</v>
      </c>
      <c r="F323" s="97">
        <f t="shared" ca="1" si="11"/>
        <v>14</v>
      </c>
      <c r="G323" s="98" t="s">
        <v>276</v>
      </c>
      <c r="H323" s="99">
        <v>68710</v>
      </c>
      <c r="I323" s="100">
        <v>4</v>
      </c>
    </row>
    <row r="324" spans="1:9" ht="13.5" x14ac:dyDescent="0.25">
      <c r="A324" s="94" t="s">
        <v>465</v>
      </c>
      <c r="B324" s="95" t="s">
        <v>245</v>
      </c>
      <c r="C324" s="94" t="s">
        <v>465</v>
      </c>
      <c r="D324" s="94" t="s">
        <v>256</v>
      </c>
      <c r="E324" s="96">
        <v>37499</v>
      </c>
      <c r="F324" s="97">
        <f t="shared" ca="1" si="11"/>
        <v>14</v>
      </c>
      <c r="G324" s="98" t="s">
        <v>262</v>
      </c>
      <c r="H324" s="99">
        <v>76584</v>
      </c>
      <c r="I324" s="100">
        <v>1</v>
      </c>
    </row>
    <row r="325" spans="1:9" ht="13.5" x14ac:dyDescent="0.25">
      <c r="A325" s="94" t="s">
        <v>465</v>
      </c>
      <c r="B325" s="95" t="s">
        <v>285</v>
      </c>
      <c r="C325" s="94" t="s">
        <v>465</v>
      </c>
      <c r="D325" s="94" t="s">
        <v>256</v>
      </c>
      <c r="E325" s="96">
        <v>37511</v>
      </c>
      <c r="F325" s="97">
        <f t="shared" ca="1" si="11"/>
        <v>14</v>
      </c>
      <c r="G325" s="98" t="s">
        <v>283</v>
      </c>
      <c r="H325" s="99">
        <v>65720</v>
      </c>
      <c r="I325" s="100">
        <v>1</v>
      </c>
    </row>
    <row r="326" spans="1:9" ht="13.5" x14ac:dyDescent="0.25">
      <c r="A326" s="94" t="s">
        <v>465</v>
      </c>
      <c r="B326" s="95" t="s">
        <v>285</v>
      </c>
      <c r="C326" s="94" t="s">
        <v>465</v>
      </c>
      <c r="D326" s="94" t="s">
        <v>256</v>
      </c>
      <c r="E326" s="96">
        <v>37522</v>
      </c>
      <c r="F326" s="97">
        <f t="shared" ca="1" si="11"/>
        <v>14</v>
      </c>
      <c r="G326" s="98" t="s">
        <v>276</v>
      </c>
      <c r="H326" s="99">
        <v>29420</v>
      </c>
      <c r="I326" s="100">
        <v>5</v>
      </c>
    </row>
    <row r="327" spans="1:9" ht="13.5" x14ac:dyDescent="0.25">
      <c r="A327" s="94" t="s">
        <v>465</v>
      </c>
      <c r="B327" s="95" t="s">
        <v>280</v>
      </c>
      <c r="C327" s="94" t="s">
        <v>465</v>
      </c>
      <c r="D327" s="94" t="s">
        <v>247</v>
      </c>
      <c r="E327" s="96">
        <v>37564</v>
      </c>
      <c r="F327" s="97">
        <f t="shared" ref="F327:F352" ca="1" si="12">DATEDIF(E327,TODAY(),"Y")</f>
        <v>14</v>
      </c>
      <c r="G327" s="98"/>
      <c r="H327" s="99">
        <v>59330</v>
      </c>
      <c r="I327" s="100">
        <v>4</v>
      </c>
    </row>
    <row r="328" spans="1:9" ht="13.5" x14ac:dyDescent="0.25">
      <c r="A328" s="94" t="s">
        <v>465</v>
      </c>
      <c r="B328" s="95" t="s">
        <v>251</v>
      </c>
      <c r="C328" s="94" t="s">
        <v>465</v>
      </c>
      <c r="D328" s="94" t="s">
        <v>247</v>
      </c>
      <c r="E328" s="96">
        <v>37602</v>
      </c>
      <c r="F328" s="97">
        <f t="shared" ca="1" si="12"/>
        <v>13</v>
      </c>
      <c r="G328" s="98"/>
      <c r="H328" s="99">
        <v>80330</v>
      </c>
      <c r="I328" s="100">
        <v>4</v>
      </c>
    </row>
    <row r="329" spans="1:9" ht="13.5" x14ac:dyDescent="0.25">
      <c r="A329" s="94" t="s">
        <v>465</v>
      </c>
      <c r="B329" s="95" t="s">
        <v>245</v>
      </c>
      <c r="C329" s="94" t="s">
        <v>465</v>
      </c>
      <c r="D329" s="94" t="s">
        <v>252</v>
      </c>
      <c r="E329" s="96">
        <v>37777</v>
      </c>
      <c r="F329" s="97">
        <f t="shared" ca="1" si="12"/>
        <v>13</v>
      </c>
      <c r="G329" s="98"/>
      <c r="H329" s="99">
        <v>14416</v>
      </c>
      <c r="I329" s="100">
        <v>4</v>
      </c>
    </row>
    <row r="330" spans="1:9" ht="13.5" x14ac:dyDescent="0.25">
      <c r="A330" s="94" t="s">
        <v>465</v>
      </c>
      <c r="B330" s="95" t="s">
        <v>285</v>
      </c>
      <c r="C330" s="94" t="s">
        <v>465</v>
      </c>
      <c r="D330" s="94" t="s">
        <v>247</v>
      </c>
      <c r="E330" s="96">
        <v>37879</v>
      </c>
      <c r="F330" s="97">
        <f t="shared" ca="1" si="12"/>
        <v>13</v>
      </c>
      <c r="G330" s="98"/>
      <c r="H330" s="99">
        <v>63850</v>
      </c>
      <c r="I330" s="100">
        <v>2</v>
      </c>
    </row>
    <row r="331" spans="1:9" ht="13.5" x14ac:dyDescent="0.25">
      <c r="A331" s="94" t="s">
        <v>465</v>
      </c>
      <c r="B331" s="95" t="s">
        <v>266</v>
      </c>
      <c r="C331" s="94" t="s">
        <v>465</v>
      </c>
      <c r="D331" s="94" t="s">
        <v>256</v>
      </c>
      <c r="E331" s="96">
        <v>38002</v>
      </c>
      <c r="F331" s="97">
        <f t="shared" ca="1" si="12"/>
        <v>12</v>
      </c>
      <c r="G331" s="98" t="s">
        <v>262</v>
      </c>
      <c r="H331" s="99">
        <v>71030</v>
      </c>
      <c r="I331" s="100">
        <v>3</v>
      </c>
    </row>
    <row r="332" spans="1:9" ht="13.5" x14ac:dyDescent="0.25">
      <c r="A332" s="94" t="s">
        <v>465</v>
      </c>
      <c r="B332" s="95" t="s">
        <v>280</v>
      </c>
      <c r="C332" s="94" t="s">
        <v>465</v>
      </c>
      <c r="D332" s="94" t="s">
        <v>256</v>
      </c>
      <c r="E332" s="96">
        <v>38038</v>
      </c>
      <c r="F332" s="97">
        <f t="shared" ca="1" si="12"/>
        <v>12</v>
      </c>
      <c r="G332" s="98" t="s">
        <v>257</v>
      </c>
      <c r="H332" s="99">
        <v>46220</v>
      </c>
      <c r="I332" s="100">
        <v>2</v>
      </c>
    </row>
    <row r="333" spans="1:9" ht="13.5" x14ac:dyDescent="0.25">
      <c r="A333" s="94" t="s">
        <v>465</v>
      </c>
      <c r="B333" s="95" t="s">
        <v>271</v>
      </c>
      <c r="C333" s="94" t="s">
        <v>465</v>
      </c>
      <c r="D333" s="94" t="s">
        <v>256</v>
      </c>
      <c r="E333" s="96">
        <v>38080</v>
      </c>
      <c r="F333" s="97">
        <f t="shared" ca="1" si="12"/>
        <v>12</v>
      </c>
      <c r="G333" s="98" t="s">
        <v>267</v>
      </c>
      <c r="H333" s="99">
        <v>71490</v>
      </c>
      <c r="I333" s="100">
        <v>5</v>
      </c>
    </row>
    <row r="334" spans="1:9" ht="13.5" x14ac:dyDescent="0.25">
      <c r="A334" s="94" t="s">
        <v>465</v>
      </c>
      <c r="B334" s="95" t="s">
        <v>266</v>
      </c>
      <c r="C334" s="94" t="s">
        <v>465</v>
      </c>
      <c r="D334" s="94" t="s">
        <v>256</v>
      </c>
      <c r="E334" s="96">
        <v>38145</v>
      </c>
      <c r="F334" s="97">
        <f t="shared" ca="1" si="12"/>
        <v>12</v>
      </c>
      <c r="G334" s="98" t="s">
        <v>283</v>
      </c>
      <c r="H334" s="99">
        <v>59420</v>
      </c>
      <c r="I334" s="100">
        <v>4</v>
      </c>
    </row>
    <row r="335" spans="1:9" ht="13.5" x14ac:dyDescent="0.25">
      <c r="A335" s="94" t="s">
        <v>465</v>
      </c>
      <c r="B335" s="95" t="s">
        <v>245</v>
      </c>
      <c r="C335" s="94" t="s">
        <v>465</v>
      </c>
      <c r="D335" s="94" t="s">
        <v>247</v>
      </c>
      <c r="E335" s="96">
        <v>38228</v>
      </c>
      <c r="F335" s="97">
        <f t="shared" ca="1" si="12"/>
        <v>12</v>
      </c>
      <c r="G335" s="98"/>
      <c r="H335" s="99">
        <v>62780</v>
      </c>
      <c r="I335" s="100">
        <v>4</v>
      </c>
    </row>
    <row r="336" spans="1:9" ht="13.5" x14ac:dyDescent="0.25">
      <c r="A336" s="94" t="s">
        <v>465</v>
      </c>
      <c r="B336" s="95" t="s">
        <v>271</v>
      </c>
      <c r="C336" s="94" t="s">
        <v>465</v>
      </c>
      <c r="D336" s="94" t="s">
        <v>247</v>
      </c>
      <c r="E336" s="96">
        <v>38235</v>
      </c>
      <c r="F336" s="97">
        <f t="shared" ca="1" si="12"/>
        <v>12</v>
      </c>
      <c r="G336" s="98"/>
      <c r="H336" s="99">
        <v>84170</v>
      </c>
      <c r="I336" s="100">
        <v>2</v>
      </c>
    </row>
    <row r="337" spans="1:9" ht="13.5" x14ac:dyDescent="0.25">
      <c r="A337" s="94" t="s">
        <v>465</v>
      </c>
      <c r="B337" s="95" t="s">
        <v>271</v>
      </c>
      <c r="C337" s="94" t="s">
        <v>465</v>
      </c>
      <c r="D337" s="94" t="s">
        <v>256</v>
      </c>
      <c r="E337" s="96">
        <v>38386</v>
      </c>
      <c r="F337" s="97">
        <f t="shared" ca="1" si="12"/>
        <v>11</v>
      </c>
      <c r="G337" s="98" t="s">
        <v>257</v>
      </c>
      <c r="H337" s="99">
        <v>69320</v>
      </c>
      <c r="I337" s="100">
        <v>3</v>
      </c>
    </row>
    <row r="338" spans="1:9" ht="13.5" x14ac:dyDescent="0.25">
      <c r="A338" s="94" t="s">
        <v>465</v>
      </c>
      <c r="B338" s="95" t="s">
        <v>266</v>
      </c>
      <c r="C338" s="94" t="s">
        <v>465</v>
      </c>
      <c r="D338" s="94" t="s">
        <v>252</v>
      </c>
      <c r="E338" s="96">
        <v>38437</v>
      </c>
      <c r="F338" s="97">
        <f t="shared" ca="1" si="12"/>
        <v>11</v>
      </c>
      <c r="G338" s="98"/>
      <c r="H338" s="99">
        <v>10572</v>
      </c>
      <c r="I338" s="100">
        <v>4</v>
      </c>
    </row>
    <row r="339" spans="1:9" ht="13.5" x14ac:dyDescent="0.25">
      <c r="A339" s="94" t="s">
        <v>465</v>
      </c>
      <c r="B339" s="95" t="s">
        <v>245</v>
      </c>
      <c r="C339" s="94" t="s">
        <v>465</v>
      </c>
      <c r="D339" s="94" t="s">
        <v>247</v>
      </c>
      <c r="E339" s="96">
        <v>38512</v>
      </c>
      <c r="F339" s="97">
        <f t="shared" ca="1" si="12"/>
        <v>11</v>
      </c>
      <c r="G339" s="98"/>
      <c r="H339" s="99">
        <v>60040</v>
      </c>
      <c r="I339" s="100">
        <v>5</v>
      </c>
    </row>
    <row r="340" spans="1:9" ht="13.5" x14ac:dyDescent="0.25">
      <c r="A340" s="94" t="s">
        <v>465</v>
      </c>
      <c r="B340" s="95" t="s">
        <v>245</v>
      </c>
      <c r="C340" s="94" t="s">
        <v>465</v>
      </c>
      <c r="D340" s="94" t="s">
        <v>247</v>
      </c>
      <c r="E340" s="96">
        <v>38520</v>
      </c>
      <c r="F340" s="97">
        <f t="shared" ca="1" si="12"/>
        <v>11</v>
      </c>
      <c r="G340" s="98"/>
      <c r="H340" s="99">
        <v>78520</v>
      </c>
      <c r="I340" s="100">
        <v>4</v>
      </c>
    </row>
    <row r="341" spans="1:9" ht="13.5" x14ac:dyDescent="0.25">
      <c r="A341" s="94" t="s">
        <v>465</v>
      </c>
      <c r="B341" s="95" t="s">
        <v>280</v>
      </c>
      <c r="C341" s="94" t="s">
        <v>465</v>
      </c>
      <c r="D341" s="94" t="s">
        <v>256</v>
      </c>
      <c r="E341" s="96">
        <v>38662</v>
      </c>
      <c r="F341" s="97">
        <f t="shared" ca="1" si="12"/>
        <v>11</v>
      </c>
      <c r="G341" s="98" t="s">
        <v>257</v>
      </c>
      <c r="H341" s="99">
        <v>78170</v>
      </c>
      <c r="I341" s="100">
        <v>5</v>
      </c>
    </row>
    <row r="342" spans="1:9" ht="13.5" x14ac:dyDescent="0.25">
      <c r="A342" s="94" t="s">
        <v>465</v>
      </c>
      <c r="B342" s="95" t="s">
        <v>266</v>
      </c>
      <c r="C342" s="94" t="s">
        <v>465</v>
      </c>
      <c r="D342" s="94" t="s">
        <v>256</v>
      </c>
      <c r="E342" s="96">
        <v>38865</v>
      </c>
      <c r="F342" s="97">
        <f t="shared" ca="1" si="12"/>
        <v>10</v>
      </c>
      <c r="G342" s="98" t="s">
        <v>267</v>
      </c>
      <c r="H342" s="99">
        <v>34690</v>
      </c>
      <c r="I342" s="100">
        <v>2</v>
      </c>
    </row>
    <row r="343" spans="1:9" ht="13.5" x14ac:dyDescent="0.25">
      <c r="A343" s="94" t="s">
        <v>465</v>
      </c>
      <c r="B343" s="95" t="s">
        <v>285</v>
      </c>
      <c r="C343" s="94" t="s">
        <v>465</v>
      </c>
      <c r="D343" s="94" t="s">
        <v>256</v>
      </c>
      <c r="E343" s="96">
        <v>38893</v>
      </c>
      <c r="F343" s="97">
        <f t="shared" ca="1" si="12"/>
        <v>10</v>
      </c>
      <c r="G343" s="98" t="s">
        <v>257</v>
      </c>
      <c r="H343" s="99">
        <v>35600</v>
      </c>
      <c r="I343" s="100">
        <v>5</v>
      </c>
    </row>
    <row r="344" spans="1:9" ht="13.5" x14ac:dyDescent="0.25">
      <c r="A344" s="94" t="s">
        <v>465</v>
      </c>
      <c r="B344" s="95" t="s">
        <v>271</v>
      </c>
      <c r="C344" s="94" t="s">
        <v>465</v>
      </c>
      <c r="D344" s="94" t="s">
        <v>256</v>
      </c>
      <c r="E344" s="96">
        <v>38960</v>
      </c>
      <c r="F344" s="97">
        <f t="shared" ca="1" si="12"/>
        <v>10</v>
      </c>
      <c r="G344" s="98" t="s">
        <v>283</v>
      </c>
      <c r="H344" s="99">
        <v>35300</v>
      </c>
      <c r="I344" s="100">
        <v>5</v>
      </c>
    </row>
    <row r="345" spans="1:9" ht="13.5" x14ac:dyDescent="0.25">
      <c r="A345" s="94" t="s">
        <v>465</v>
      </c>
      <c r="B345" s="95" t="s">
        <v>285</v>
      </c>
      <c r="C345" s="94" t="s">
        <v>465</v>
      </c>
      <c r="D345" s="94" t="s">
        <v>247</v>
      </c>
      <c r="E345" s="102">
        <v>39139</v>
      </c>
      <c r="F345" s="97">
        <f t="shared" ca="1" si="12"/>
        <v>9</v>
      </c>
      <c r="G345" s="98"/>
      <c r="H345" s="99">
        <v>88840</v>
      </c>
      <c r="I345" s="100">
        <v>5</v>
      </c>
    </row>
    <row r="346" spans="1:9" ht="13.5" x14ac:dyDescent="0.25">
      <c r="A346" s="94" t="s">
        <v>465</v>
      </c>
      <c r="B346" s="95" t="s">
        <v>271</v>
      </c>
      <c r="C346" s="94" t="s">
        <v>465</v>
      </c>
      <c r="D346" s="94" t="s">
        <v>247</v>
      </c>
      <c r="E346" s="96">
        <v>39160</v>
      </c>
      <c r="F346" s="97">
        <f t="shared" ca="1" si="12"/>
        <v>9</v>
      </c>
      <c r="G346" s="98"/>
      <c r="H346" s="99">
        <v>37840</v>
      </c>
      <c r="I346" s="100">
        <v>1</v>
      </c>
    </row>
    <row r="347" spans="1:9" ht="13.5" x14ac:dyDescent="0.25">
      <c r="A347" s="94" t="s">
        <v>465</v>
      </c>
      <c r="B347" s="95" t="s">
        <v>271</v>
      </c>
      <c r="C347" s="94" t="s">
        <v>465</v>
      </c>
      <c r="D347" s="94" t="s">
        <v>247</v>
      </c>
      <c r="E347" s="96">
        <v>39160</v>
      </c>
      <c r="F347" s="97">
        <f t="shared" ca="1" si="12"/>
        <v>9</v>
      </c>
      <c r="G347" s="98"/>
      <c r="H347" s="99">
        <v>37840</v>
      </c>
      <c r="I347" s="100">
        <v>1</v>
      </c>
    </row>
    <row r="348" spans="1:9" ht="13.5" x14ac:dyDescent="0.25">
      <c r="A348" s="94" t="s">
        <v>465</v>
      </c>
      <c r="B348" s="95" t="s">
        <v>271</v>
      </c>
      <c r="C348" s="94" t="s">
        <v>465</v>
      </c>
      <c r="D348" s="94" t="s">
        <v>252</v>
      </c>
      <c r="E348" s="96">
        <v>39264</v>
      </c>
      <c r="F348" s="97">
        <f t="shared" ca="1" si="12"/>
        <v>9</v>
      </c>
      <c r="G348" s="98"/>
      <c r="H348" s="99">
        <v>28424</v>
      </c>
      <c r="I348" s="100">
        <v>4</v>
      </c>
    </row>
    <row r="349" spans="1:9" ht="13.5" x14ac:dyDescent="0.25">
      <c r="A349" s="94" t="s">
        <v>465</v>
      </c>
      <c r="B349" s="95" t="s">
        <v>245</v>
      </c>
      <c r="C349" s="94" t="s">
        <v>465</v>
      </c>
      <c r="D349" s="94" t="s">
        <v>256</v>
      </c>
      <c r="E349" s="96">
        <v>39268</v>
      </c>
      <c r="F349" s="97">
        <f t="shared" ca="1" si="12"/>
        <v>9</v>
      </c>
      <c r="G349" s="98" t="s">
        <v>257</v>
      </c>
      <c r="H349" s="99">
        <v>43820</v>
      </c>
      <c r="I349" s="100">
        <v>2</v>
      </c>
    </row>
    <row r="350" spans="1:9" ht="13.5" x14ac:dyDescent="0.25">
      <c r="A350" s="94" t="s">
        <v>465</v>
      </c>
      <c r="B350" s="95" t="s">
        <v>285</v>
      </c>
      <c r="C350" s="94" t="s">
        <v>465</v>
      </c>
      <c r="D350" s="94" t="s">
        <v>256</v>
      </c>
      <c r="E350" s="102">
        <v>39293</v>
      </c>
      <c r="F350" s="97">
        <f t="shared" ca="1" si="12"/>
        <v>9</v>
      </c>
      <c r="G350" s="98" t="s">
        <v>267</v>
      </c>
      <c r="H350" s="99">
        <v>44260</v>
      </c>
      <c r="I350" s="100">
        <v>1</v>
      </c>
    </row>
    <row r="351" spans="1:9" ht="13.5" x14ac:dyDescent="0.25">
      <c r="A351" s="94" t="s">
        <v>465</v>
      </c>
      <c r="B351" s="95" t="s">
        <v>271</v>
      </c>
      <c r="C351" s="94" t="s">
        <v>465</v>
      </c>
      <c r="D351" s="94" t="s">
        <v>256</v>
      </c>
      <c r="E351" s="96">
        <v>39324</v>
      </c>
      <c r="F351" s="97">
        <f t="shared" ca="1" si="12"/>
        <v>9</v>
      </c>
      <c r="G351" s="98" t="s">
        <v>257</v>
      </c>
      <c r="H351" s="99">
        <v>47440</v>
      </c>
      <c r="I351" s="100">
        <v>3</v>
      </c>
    </row>
    <row r="352" spans="1:9" ht="13.5" x14ac:dyDescent="0.25">
      <c r="A352" s="94" t="s">
        <v>465</v>
      </c>
      <c r="B352" s="95" t="s">
        <v>271</v>
      </c>
      <c r="C352" s="94" t="s">
        <v>465</v>
      </c>
      <c r="D352" s="94" t="s">
        <v>247</v>
      </c>
      <c r="E352" s="102">
        <v>39370</v>
      </c>
      <c r="F352" s="97">
        <f t="shared" ca="1" si="12"/>
        <v>9</v>
      </c>
      <c r="G352" s="98"/>
      <c r="H352" s="99">
        <v>57110</v>
      </c>
      <c r="I352" s="100">
        <v>3</v>
      </c>
    </row>
    <row r="353" spans="1:9" ht="13.5" x14ac:dyDescent="0.25">
      <c r="A353" s="101" t="s">
        <v>1047</v>
      </c>
      <c r="B353" s="95"/>
      <c r="C353" s="101"/>
      <c r="D353" s="94"/>
      <c r="E353" s="102"/>
      <c r="F353" s="97"/>
      <c r="G353" s="98"/>
      <c r="H353" s="99"/>
      <c r="I353" s="100"/>
    </row>
    <row r="354" spans="1:9" ht="13.5" x14ac:dyDescent="0.25">
      <c r="A354" s="94" t="s">
        <v>618</v>
      </c>
      <c r="B354" s="95" t="s">
        <v>280</v>
      </c>
      <c r="C354" s="94" t="s">
        <v>618</v>
      </c>
      <c r="D354" s="94" t="s">
        <v>256</v>
      </c>
      <c r="E354" s="96">
        <v>32522</v>
      </c>
      <c r="F354" s="97">
        <f t="shared" ref="F354:F360" ca="1" si="13">DATEDIF(E354,TODAY(),"Y")</f>
        <v>27</v>
      </c>
      <c r="G354" s="98" t="s">
        <v>257</v>
      </c>
      <c r="H354" s="99">
        <v>39160</v>
      </c>
      <c r="I354" s="100">
        <v>3</v>
      </c>
    </row>
    <row r="355" spans="1:9" ht="13.5" x14ac:dyDescent="0.25">
      <c r="A355" s="94" t="s">
        <v>618</v>
      </c>
      <c r="B355" s="95" t="s">
        <v>245</v>
      </c>
      <c r="C355" s="94" t="s">
        <v>618</v>
      </c>
      <c r="D355" s="94" t="s">
        <v>247</v>
      </c>
      <c r="E355" s="96">
        <v>35455</v>
      </c>
      <c r="F355" s="97">
        <f t="shared" ca="1" si="13"/>
        <v>19</v>
      </c>
      <c r="G355" s="98"/>
      <c r="H355" s="99">
        <v>74500</v>
      </c>
      <c r="I355" s="100">
        <v>4</v>
      </c>
    </row>
    <row r="356" spans="1:9" ht="13.5" x14ac:dyDescent="0.25">
      <c r="A356" s="94" t="s">
        <v>618</v>
      </c>
      <c r="B356" s="95" t="s">
        <v>251</v>
      </c>
      <c r="C356" s="94" t="s">
        <v>618</v>
      </c>
      <c r="D356" s="94" t="s">
        <v>256</v>
      </c>
      <c r="E356" s="96">
        <v>36097</v>
      </c>
      <c r="F356" s="97">
        <f t="shared" ca="1" si="13"/>
        <v>18</v>
      </c>
      <c r="G356" s="98" t="s">
        <v>257</v>
      </c>
      <c r="H356" s="99">
        <v>59140</v>
      </c>
      <c r="I356" s="100">
        <v>5</v>
      </c>
    </row>
    <row r="357" spans="1:9" ht="13.5" x14ac:dyDescent="0.25">
      <c r="A357" s="94" t="s">
        <v>618</v>
      </c>
      <c r="B357" s="95" t="s">
        <v>285</v>
      </c>
      <c r="C357" s="94" t="s">
        <v>618</v>
      </c>
      <c r="D357" s="94" t="s">
        <v>256</v>
      </c>
      <c r="E357" s="96">
        <v>36626</v>
      </c>
      <c r="F357" s="97">
        <f t="shared" ca="1" si="13"/>
        <v>16</v>
      </c>
      <c r="G357" s="98" t="s">
        <v>283</v>
      </c>
      <c r="H357" s="99">
        <v>53870</v>
      </c>
      <c r="I357" s="100">
        <v>2</v>
      </c>
    </row>
    <row r="358" spans="1:9" ht="13.5" x14ac:dyDescent="0.25">
      <c r="A358" s="94" t="s">
        <v>618</v>
      </c>
      <c r="B358" s="95" t="s">
        <v>245</v>
      </c>
      <c r="C358" s="94" t="s">
        <v>618</v>
      </c>
      <c r="D358" s="94" t="s">
        <v>256</v>
      </c>
      <c r="E358" s="96">
        <v>37728</v>
      </c>
      <c r="F358" s="97">
        <f t="shared" ca="1" si="13"/>
        <v>13</v>
      </c>
      <c r="G358" s="98" t="s">
        <v>276</v>
      </c>
      <c r="H358" s="99">
        <v>71400</v>
      </c>
      <c r="I358" s="100">
        <v>4</v>
      </c>
    </row>
    <row r="359" spans="1:9" ht="13.5" x14ac:dyDescent="0.25">
      <c r="A359" s="94" t="s">
        <v>618</v>
      </c>
      <c r="B359" s="95" t="s">
        <v>266</v>
      </c>
      <c r="C359" s="94" t="s">
        <v>618</v>
      </c>
      <c r="D359" s="94" t="s">
        <v>247</v>
      </c>
      <c r="E359" s="102">
        <v>38982</v>
      </c>
      <c r="F359" s="97">
        <f t="shared" ca="1" si="13"/>
        <v>10</v>
      </c>
      <c r="G359" s="98"/>
      <c r="H359" s="99">
        <v>61890</v>
      </c>
      <c r="I359" s="100">
        <v>2</v>
      </c>
    </row>
    <row r="360" spans="1:9" ht="13.5" x14ac:dyDescent="0.25">
      <c r="A360" s="94" t="s">
        <v>618</v>
      </c>
      <c r="B360" s="95" t="s">
        <v>266</v>
      </c>
      <c r="C360" s="94" t="s">
        <v>618</v>
      </c>
      <c r="D360" s="94" t="s">
        <v>256</v>
      </c>
      <c r="E360" s="102">
        <v>39003</v>
      </c>
      <c r="F360" s="97">
        <f t="shared" ca="1" si="13"/>
        <v>10</v>
      </c>
      <c r="G360" s="98" t="s">
        <v>283</v>
      </c>
      <c r="H360" s="99">
        <v>27250</v>
      </c>
      <c r="I360" s="100">
        <v>5</v>
      </c>
    </row>
    <row r="361" spans="1:9" ht="13.5" x14ac:dyDescent="0.25">
      <c r="A361" s="101" t="s">
        <v>1048</v>
      </c>
      <c r="B361" s="95"/>
      <c r="C361" s="101"/>
      <c r="D361" s="94"/>
      <c r="E361" s="102"/>
      <c r="F361" s="97"/>
      <c r="G361" s="98"/>
      <c r="H361" s="99"/>
      <c r="I361" s="100"/>
    </row>
    <row r="362" spans="1:9" ht="13.5" x14ac:dyDescent="0.25">
      <c r="A362" s="94" t="s">
        <v>626</v>
      </c>
      <c r="B362" s="95" t="s">
        <v>245</v>
      </c>
      <c r="C362" s="94" t="s">
        <v>626</v>
      </c>
      <c r="D362" s="94" t="s">
        <v>256</v>
      </c>
      <c r="E362" s="96">
        <v>31913</v>
      </c>
      <c r="F362" s="97">
        <f t="shared" ref="F362:F416" ca="1" si="14">DATEDIF(E362,TODAY(),"Y")</f>
        <v>29</v>
      </c>
      <c r="G362" s="98" t="s">
        <v>262</v>
      </c>
      <c r="H362" s="99">
        <v>31260</v>
      </c>
      <c r="I362" s="100">
        <v>5</v>
      </c>
    </row>
    <row r="363" spans="1:9" ht="13.5" x14ac:dyDescent="0.25">
      <c r="A363" s="94" t="s">
        <v>626</v>
      </c>
      <c r="B363" s="95" t="s">
        <v>280</v>
      </c>
      <c r="C363" s="94" t="s">
        <v>626</v>
      </c>
      <c r="D363" s="94" t="s">
        <v>256</v>
      </c>
      <c r="E363" s="96">
        <v>31937</v>
      </c>
      <c r="F363" s="97">
        <f t="shared" ca="1" si="14"/>
        <v>29</v>
      </c>
      <c r="G363" s="98" t="s">
        <v>257</v>
      </c>
      <c r="H363" s="99">
        <v>62740</v>
      </c>
      <c r="I363" s="100">
        <v>4</v>
      </c>
    </row>
    <row r="364" spans="1:9" ht="13.5" x14ac:dyDescent="0.25">
      <c r="A364" s="94" t="s">
        <v>626</v>
      </c>
      <c r="B364" s="95" t="s">
        <v>285</v>
      </c>
      <c r="C364" s="94" t="s">
        <v>626</v>
      </c>
      <c r="D364" s="94" t="s">
        <v>252</v>
      </c>
      <c r="E364" s="96">
        <v>31995</v>
      </c>
      <c r="F364" s="97">
        <f t="shared" ca="1" si="14"/>
        <v>29</v>
      </c>
      <c r="G364" s="98"/>
      <c r="H364" s="99">
        <v>36844</v>
      </c>
      <c r="I364" s="100">
        <v>4</v>
      </c>
    </row>
    <row r="365" spans="1:9" ht="13.5" x14ac:dyDescent="0.25">
      <c r="A365" s="94" t="s">
        <v>626</v>
      </c>
      <c r="B365" s="95" t="s">
        <v>271</v>
      </c>
      <c r="C365" s="94" t="s">
        <v>626</v>
      </c>
      <c r="D365" s="94" t="s">
        <v>261</v>
      </c>
      <c r="E365" s="96">
        <v>32009</v>
      </c>
      <c r="F365" s="97">
        <f t="shared" ca="1" si="14"/>
        <v>29</v>
      </c>
      <c r="G365" s="98" t="s">
        <v>267</v>
      </c>
      <c r="H365" s="99">
        <v>13090</v>
      </c>
      <c r="I365" s="100">
        <v>4</v>
      </c>
    </row>
    <row r="366" spans="1:9" ht="13.5" x14ac:dyDescent="0.25">
      <c r="A366" s="94" t="s">
        <v>626</v>
      </c>
      <c r="B366" s="95" t="s">
        <v>251</v>
      </c>
      <c r="C366" s="94" t="s">
        <v>626</v>
      </c>
      <c r="D366" s="94" t="s">
        <v>256</v>
      </c>
      <c r="E366" s="96">
        <v>32097</v>
      </c>
      <c r="F366" s="97">
        <f t="shared" ca="1" si="14"/>
        <v>28</v>
      </c>
      <c r="G366" s="98" t="s">
        <v>257</v>
      </c>
      <c r="H366" s="99">
        <v>22900</v>
      </c>
      <c r="I366" s="100">
        <v>1</v>
      </c>
    </row>
    <row r="367" spans="1:9" ht="13.5" x14ac:dyDescent="0.25">
      <c r="A367" s="94" t="s">
        <v>626</v>
      </c>
      <c r="B367" s="95" t="s">
        <v>285</v>
      </c>
      <c r="C367" s="94" t="s">
        <v>626</v>
      </c>
      <c r="D367" s="94" t="s">
        <v>256</v>
      </c>
      <c r="E367" s="96">
        <v>32296</v>
      </c>
      <c r="F367" s="97">
        <f t="shared" ca="1" si="14"/>
        <v>28</v>
      </c>
      <c r="G367" s="98" t="s">
        <v>262</v>
      </c>
      <c r="H367" s="99">
        <v>87120</v>
      </c>
      <c r="I367" s="100">
        <v>3</v>
      </c>
    </row>
    <row r="368" spans="1:9" ht="13.5" x14ac:dyDescent="0.25">
      <c r="A368" s="94" t="s">
        <v>626</v>
      </c>
      <c r="B368" s="95" t="s">
        <v>285</v>
      </c>
      <c r="C368" s="94" t="s">
        <v>626</v>
      </c>
      <c r="D368" s="94" t="s">
        <v>256</v>
      </c>
      <c r="E368" s="96">
        <v>32385</v>
      </c>
      <c r="F368" s="97">
        <f t="shared" ca="1" si="14"/>
        <v>28</v>
      </c>
      <c r="G368" s="98" t="s">
        <v>262</v>
      </c>
      <c r="H368" s="99">
        <v>60560</v>
      </c>
      <c r="I368" s="100">
        <v>4</v>
      </c>
    </row>
    <row r="369" spans="1:9" ht="13.5" x14ac:dyDescent="0.25">
      <c r="A369" s="94" t="s">
        <v>626</v>
      </c>
      <c r="B369" s="95" t="s">
        <v>245</v>
      </c>
      <c r="C369" s="94" t="s">
        <v>626</v>
      </c>
      <c r="D369" s="94" t="s">
        <v>256</v>
      </c>
      <c r="E369" s="96">
        <v>32392</v>
      </c>
      <c r="F369" s="97">
        <f t="shared" ca="1" si="14"/>
        <v>28</v>
      </c>
      <c r="G369" s="98" t="s">
        <v>257</v>
      </c>
      <c r="H369" s="99">
        <v>37020</v>
      </c>
      <c r="I369" s="100">
        <v>2</v>
      </c>
    </row>
    <row r="370" spans="1:9" ht="13.5" x14ac:dyDescent="0.25">
      <c r="A370" s="94" t="s">
        <v>626</v>
      </c>
      <c r="B370" s="95" t="s">
        <v>251</v>
      </c>
      <c r="C370" s="94" t="s">
        <v>626</v>
      </c>
      <c r="D370" s="94" t="s">
        <v>256</v>
      </c>
      <c r="E370" s="96">
        <v>32455</v>
      </c>
      <c r="F370" s="97">
        <f t="shared" ca="1" si="14"/>
        <v>28</v>
      </c>
      <c r="G370" s="98" t="s">
        <v>262</v>
      </c>
      <c r="H370" s="99">
        <v>73930</v>
      </c>
      <c r="I370" s="100">
        <v>1</v>
      </c>
    </row>
    <row r="371" spans="1:9" ht="13.5" x14ac:dyDescent="0.25">
      <c r="A371" s="94" t="s">
        <v>626</v>
      </c>
      <c r="B371" s="95" t="s">
        <v>285</v>
      </c>
      <c r="C371" s="94" t="s">
        <v>626</v>
      </c>
      <c r="D371" s="94" t="s">
        <v>256</v>
      </c>
      <c r="E371" s="96">
        <v>32724</v>
      </c>
      <c r="F371" s="97">
        <f t="shared" ca="1" si="14"/>
        <v>27</v>
      </c>
      <c r="G371" s="98" t="s">
        <v>267</v>
      </c>
      <c r="H371" s="99">
        <v>45180</v>
      </c>
      <c r="I371" s="100">
        <v>5</v>
      </c>
    </row>
    <row r="372" spans="1:9" ht="13.5" x14ac:dyDescent="0.25">
      <c r="A372" s="94" t="s">
        <v>626</v>
      </c>
      <c r="B372" s="95" t="s">
        <v>266</v>
      </c>
      <c r="C372" s="94" t="s">
        <v>626</v>
      </c>
      <c r="D372" s="94" t="s">
        <v>247</v>
      </c>
      <c r="E372" s="96">
        <v>32744</v>
      </c>
      <c r="F372" s="97">
        <f t="shared" ca="1" si="14"/>
        <v>27</v>
      </c>
      <c r="G372" s="98"/>
      <c r="H372" s="99">
        <v>29000</v>
      </c>
      <c r="I372" s="100">
        <v>5</v>
      </c>
    </row>
    <row r="373" spans="1:9" ht="13.5" x14ac:dyDescent="0.25">
      <c r="A373" s="94" t="s">
        <v>626</v>
      </c>
      <c r="B373" s="95" t="s">
        <v>285</v>
      </c>
      <c r="C373" s="94" t="s">
        <v>626</v>
      </c>
      <c r="D373" s="94" t="s">
        <v>256</v>
      </c>
      <c r="E373" s="96">
        <v>32757</v>
      </c>
      <c r="F373" s="97">
        <f t="shared" ca="1" si="14"/>
        <v>27</v>
      </c>
      <c r="G373" s="98" t="s">
        <v>267</v>
      </c>
      <c r="H373" s="99">
        <v>86540</v>
      </c>
      <c r="I373" s="100">
        <v>4</v>
      </c>
    </row>
    <row r="374" spans="1:9" ht="13.5" x14ac:dyDescent="0.25">
      <c r="A374" s="94" t="s">
        <v>626</v>
      </c>
      <c r="B374" s="95" t="s">
        <v>285</v>
      </c>
      <c r="C374" s="94" t="s">
        <v>626</v>
      </c>
      <c r="D374" s="94" t="s">
        <v>256</v>
      </c>
      <c r="E374" s="96">
        <v>32867</v>
      </c>
      <c r="F374" s="97">
        <f t="shared" ca="1" si="14"/>
        <v>26</v>
      </c>
      <c r="G374" s="98" t="s">
        <v>283</v>
      </c>
      <c r="H374" s="99">
        <v>65250</v>
      </c>
      <c r="I374" s="100">
        <v>2</v>
      </c>
    </row>
    <row r="375" spans="1:9" ht="13.5" x14ac:dyDescent="0.25">
      <c r="A375" s="94" t="s">
        <v>626</v>
      </c>
      <c r="B375" s="95" t="s">
        <v>285</v>
      </c>
      <c r="C375" s="94" t="s">
        <v>626</v>
      </c>
      <c r="D375" s="94" t="s">
        <v>256</v>
      </c>
      <c r="E375" s="96">
        <v>33565</v>
      </c>
      <c r="F375" s="97">
        <f t="shared" ca="1" si="14"/>
        <v>24</v>
      </c>
      <c r="G375" s="98" t="s">
        <v>276</v>
      </c>
      <c r="H375" s="99">
        <v>66920</v>
      </c>
      <c r="I375" s="100">
        <v>2</v>
      </c>
    </row>
    <row r="376" spans="1:9" ht="13.5" x14ac:dyDescent="0.25">
      <c r="A376" s="94" t="s">
        <v>626</v>
      </c>
      <c r="B376" s="95" t="s">
        <v>280</v>
      </c>
      <c r="C376" s="94" t="s">
        <v>626</v>
      </c>
      <c r="D376" s="94" t="s">
        <v>247</v>
      </c>
      <c r="E376" s="96">
        <v>33637</v>
      </c>
      <c r="F376" s="97">
        <f t="shared" ca="1" si="14"/>
        <v>24</v>
      </c>
      <c r="G376" s="98"/>
      <c r="H376" s="99">
        <v>81930</v>
      </c>
      <c r="I376" s="100">
        <v>5</v>
      </c>
    </row>
    <row r="377" spans="1:9" ht="13.5" x14ac:dyDescent="0.25">
      <c r="A377" s="94" t="s">
        <v>626</v>
      </c>
      <c r="B377" s="95" t="s">
        <v>280</v>
      </c>
      <c r="C377" s="94" t="s">
        <v>626</v>
      </c>
      <c r="D377" s="94" t="s">
        <v>247</v>
      </c>
      <c r="E377" s="96">
        <v>33637</v>
      </c>
      <c r="F377" s="97">
        <f t="shared" ca="1" si="14"/>
        <v>24</v>
      </c>
      <c r="G377" s="98"/>
      <c r="H377" s="99">
        <v>81930</v>
      </c>
      <c r="I377" s="100">
        <v>5</v>
      </c>
    </row>
    <row r="378" spans="1:9" ht="13.5" x14ac:dyDescent="0.25">
      <c r="A378" s="94" t="s">
        <v>626</v>
      </c>
      <c r="B378" s="95" t="s">
        <v>245</v>
      </c>
      <c r="C378" s="94" t="s">
        <v>626</v>
      </c>
      <c r="D378" s="94" t="s">
        <v>256</v>
      </c>
      <c r="E378" s="96">
        <v>33910</v>
      </c>
      <c r="F378" s="97">
        <f t="shared" ca="1" si="14"/>
        <v>24</v>
      </c>
      <c r="G378" s="98" t="s">
        <v>267</v>
      </c>
      <c r="H378" s="99">
        <v>70480</v>
      </c>
      <c r="I378" s="100">
        <v>4</v>
      </c>
    </row>
    <row r="379" spans="1:9" ht="13.5" x14ac:dyDescent="0.25">
      <c r="A379" s="94" t="s">
        <v>626</v>
      </c>
      <c r="B379" s="95" t="s">
        <v>245</v>
      </c>
      <c r="C379" s="94" t="s">
        <v>626</v>
      </c>
      <c r="D379" s="94" t="s">
        <v>256</v>
      </c>
      <c r="E379" s="96">
        <v>33944</v>
      </c>
      <c r="F379" s="97">
        <f t="shared" ca="1" si="14"/>
        <v>23</v>
      </c>
      <c r="G379" s="98" t="s">
        <v>257</v>
      </c>
      <c r="H379" s="99">
        <v>48800</v>
      </c>
      <c r="I379" s="100">
        <v>4</v>
      </c>
    </row>
    <row r="380" spans="1:9" ht="13.5" x14ac:dyDescent="0.25">
      <c r="A380" s="94" t="s">
        <v>626</v>
      </c>
      <c r="B380" s="95" t="s">
        <v>251</v>
      </c>
      <c r="C380" s="94" t="s">
        <v>626</v>
      </c>
      <c r="D380" s="94" t="s">
        <v>256</v>
      </c>
      <c r="E380" s="96">
        <v>33972</v>
      </c>
      <c r="F380" s="97">
        <f t="shared" ca="1" si="14"/>
        <v>23</v>
      </c>
      <c r="G380" s="98" t="s">
        <v>257</v>
      </c>
      <c r="H380" s="99">
        <v>57560</v>
      </c>
      <c r="I380" s="100">
        <v>4</v>
      </c>
    </row>
    <row r="381" spans="1:9" ht="13.5" x14ac:dyDescent="0.25">
      <c r="A381" s="94" t="s">
        <v>626</v>
      </c>
      <c r="B381" s="95" t="s">
        <v>266</v>
      </c>
      <c r="C381" s="94" t="s">
        <v>626</v>
      </c>
      <c r="D381" s="94" t="s">
        <v>247</v>
      </c>
      <c r="E381" s="96">
        <v>34208</v>
      </c>
      <c r="F381" s="97">
        <f t="shared" ca="1" si="14"/>
        <v>23</v>
      </c>
      <c r="G381" s="98"/>
      <c r="H381" s="99">
        <v>53870</v>
      </c>
      <c r="I381" s="100">
        <v>2</v>
      </c>
    </row>
    <row r="382" spans="1:9" ht="13.5" x14ac:dyDescent="0.25">
      <c r="A382" s="94" t="s">
        <v>626</v>
      </c>
      <c r="B382" s="95" t="s">
        <v>285</v>
      </c>
      <c r="C382" s="94" t="s">
        <v>626</v>
      </c>
      <c r="D382" s="94" t="s">
        <v>256</v>
      </c>
      <c r="E382" s="96">
        <v>34237</v>
      </c>
      <c r="F382" s="97">
        <f t="shared" ca="1" si="14"/>
        <v>23</v>
      </c>
      <c r="G382" s="98" t="s">
        <v>257</v>
      </c>
      <c r="H382" s="99">
        <v>81640</v>
      </c>
      <c r="I382" s="100">
        <v>4</v>
      </c>
    </row>
    <row r="383" spans="1:9" ht="13.5" x14ac:dyDescent="0.25">
      <c r="A383" s="94" t="s">
        <v>626</v>
      </c>
      <c r="B383" s="95" t="s">
        <v>285</v>
      </c>
      <c r="C383" s="94" t="s">
        <v>626</v>
      </c>
      <c r="D383" s="94" t="s">
        <v>256</v>
      </c>
      <c r="E383" s="96">
        <v>34237</v>
      </c>
      <c r="F383" s="97">
        <f t="shared" ca="1" si="14"/>
        <v>23</v>
      </c>
      <c r="G383" s="98" t="s">
        <v>257</v>
      </c>
      <c r="H383" s="99">
        <v>81640</v>
      </c>
      <c r="I383" s="100">
        <v>4</v>
      </c>
    </row>
    <row r="384" spans="1:9" ht="13.5" x14ac:dyDescent="0.25">
      <c r="A384" s="94" t="s">
        <v>626</v>
      </c>
      <c r="B384" s="95" t="s">
        <v>285</v>
      </c>
      <c r="C384" s="94" t="s">
        <v>626</v>
      </c>
      <c r="D384" s="94" t="s">
        <v>247</v>
      </c>
      <c r="E384" s="96">
        <v>34372</v>
      </c>
      <c r="F384" s="97">
        <f t="shared" ca="1" si="14"/>
        <v>22</v>
      </c>
      <c r="G384" s="98"/>
      <c r="H384" s="99">
        <v>63850</v>
      </c>
      <c r="I384" s="100">
        <v>2</v>
      </c>
    </row>
    <row r="385" spans="1:9" ht="13.5" x14ac:dyDescent="0.25">
      <c r="A385" s="94" t="s">
        <v>626</v>
      </c>
      <c r="B385" s="95" t="s">
        <v>271</v>
      </c>
      <c r="C385" s="94" t="s">
        <v>626</v>
      </c>
      <c r="D385" s="94" t="s">
        <v>247</v>
      </c>
      <c r="E385" s="96">
        <v>34466</v>
      </c>
      <c r="F385" s="97">
        <f t="shared" ca="1" si="14"/>
        <v>22</v>
      </c>
      <c r="G385" s="98"/>
      <c r="H385" s="99">
        <v>77930</v>
      </c>
      <c r="I385" s="100">
        <v>5</v>
      </c>
    </row>
    <row r="386" spans="1:9" ht="13.5" x14ac:dyDescent="0.25">
      <c r="A386" s="94" t="s">
        <v>626</v>
      </c>
      <c r="B386" s="95" t="s">
        <v>245</v>
      </c>
      <c r="C386" s="94" t="s">
        <v>626</v>
      </c>
      <c r="D386" s="94" t="s">
        <v>256</v>
      </c>
      <c r="E386" s="96">
        <v>34546</v>
      </c>
      <c r="F386" s="97">
        <f t="shared" ca="1" si="14"/>
        <v>22</v>
      </c>
      <c r="G386" s="98" t="s">
        <v>276</v>
      </c>
      <c r="H386" s="99">
        <v>86830</v>
      </c>
      <c r="I386" s="100">
        <v>3</v>
      </c>
    </row>
    <row r="387" spans="1:9" ht="13.5" x14ac:dyDescent="0.25">
      <c r="A387" s="94" t="s">
        <v>626</v>
      </c>
      <c r="B387" s="95" t="s">
        <v>271</v>
      </c>
      <c r="C387" s="94" t="s">
        <v>626</v>
      </c>
      <c r="D387" s="94" t="s">
        <v>256</v>
      </c>
      <c r="E387" s="96">
        <v>34547</v>
      </c>
      <c r="F387" s="97">
        <f t="shared" ca="1" si="14"/>
        <v>22</v>
      </c>
      <c r="G387" s="98" t="s">
        <v>283</v>
      </c>
      <c r="H387" s="99">
        <v>82110</v>
      </c>
      <c r="I387" s="100">
        <v>3</v>
      </c>
    </row>
    <row r="388" spans="1:9" ht="13.5" x14ac:dyDescent="0.25">
      <c r="A388" s="94" t="s">
        <v>626</v>
      </c>
      <c r="B388" s="95" t="s">
        <v>285</v>
      </c>
      <c r="C388" s="94" t="s">
        <v>626</v>
      </c>
      <c r="D388" s="94" t="s">
        <v>261</v>
      </c>
      <c r="E388" s="96">
        <v>34784</v>
      </c>
      <c r="F388" s="97">
        <f t="shared" ca="1" si="14"/>
        <v>21</v>
      </c>
      <c r="G388" s="98" t="s">
        <v>257</v>
      </c>
      <c r="H388" s="99">
        <v>47885</v>
      </c>
      <c r="I388" s="100">
        <v>1</v>
      </c>
    </row>
    <row r="389" spans="1:9" ht="13.5" x14ac:dyDescent="0.25">
      <c r="A389" s="94" t="s">
        <v>626</v>
      </c>
      <c r="B389" s="95" t="s">
        <v>285</v>
      </c>
      <c r="C389" s="94" t="s">
        <v>626</v>
      </c>
      <c r="D389" s="94" t="s">
        <v>256</v>
      </c>
      <c r="E389" s="96">
        <v>34806</v>
      </c>
      <c r="F389" s="97">
        <f t="shared" ca="1" si="14"/>
        <v>21</v>
      </c>
      <c r="G389" s="98" t="s">
        <v>276</v>
      </c>
      <c r="H389" s="99">
        <v>49770</v>
      </c>
      <c r="I389" s="100">
        <v>1</v>
      </c>
    </row>
    <row r="390" spans="1:9" ht="13.5" x14ac:dyDescent="0.25">
      <c r="A390" s="94" t="s">
        <v>626</v>
      </c>
      <c r="B390" s="95" t="s">
        <v>245</v>
      </c>
      <c r="C390" s="94" t="s">
        <v>626</v>
      </c>
      <c r="D390" s="94" t="s">
        <v>261</v>
      </c>
      <c r="E390" s="96">
        <v>34811</v>
      </c>
      <c r="F390" s="97">
        <f t="shared" ca="1" si="14"/>
        <v>21</v>
      </c>
      <c r="G390" s="98" t="s">
        <v>283</v>
      </c>
      <c r="H390" s="99">
        <v>28880</v>
      </c>
      <c r="I390" s="100">
        <v>3</v>
      </c>
    </row>
    <row r="391" spans="1:9" ht="13.5" x14ac:dyDescent="0.25">
      <c r="A391" s="94" t="s">
        <v>626</v>
      </c>
      <c r="B391" s="95" t="s">
        <v>245</v>
      </c>
      <c r="C391" s="94" t="s">
        <v>626</v>
      </c>
      <c r="D391" s="94" t="s">
        <v>247</v>
      </c>
      <c r="E391" s="96">
        <v>34882</v>
      </c>
      <c r="F391" s="97">
        <f t="shared" ca="1" si="14"/>
        <v>21</v>
      </c>
      <c r="G391" s="98"/>
      <c r="H391" s="99">
        <v>47620</v>
      </c>
      <c r="I391" s="100">
        <v>5</v>
      </c>
    </row>
    <row r="392" spans="1:9" ht="13.5" x14ac:dyDescent="0.25">
      <c r="A392" s="94" t="s">
        <v>626</v>
      </c>
      <c r="B392" s="95" t="s">
        <v>251</v>
      </c>
      <c r="C392" s="94" t="s">
        <v>626</v>
      </c>
      <c r="D392" s="94" t="s">
        <v>247</v>
      </c>
      <c r="E392" s="96">
        <v>34889</v>
      </c>
      <c r="F392" s="97">
        <f t="shared" ca="1" si="14"/>
        <v>21</v>
      </c>
      <c r="G392" s="98"/>
      <c r="H392" s="99">
        <v>31270</v>
      </c>
      <c r="I392" s="100">
        <v>5</v>
      </c>
    </row>
    <row r="393" spans="1:9" ht="13.5" x14ac:dyDescent="0.25">
      <c r="A393" s="94" t="s">
        <v>626</v>
      </c>
      <c r="B393" s="95" t="s">
        <v>266</v>
      </c>
      <c r="C393" s="94" t="s">
        <v>626</v>
      </c>
      <c r="D393" s="94" t="s">
        <v>256</v>
      </c>
      <c r="E393" s="96">
        <v>34987</v>
      </c>
      <c r="F393" s="97">
        <f t="shared" ca="1" si="14"/>
        <v>21</v>
      </c>
      <c r="G393" s="98" t="s">
        <v>257</v>
      </c>
      <c r="H393" s="99">
        <v>46030</v>
      </c>
      <c r="I393" s="100">
        <v>2</v>
      </c>
    </row>
    <row r="394" spans="1:9" ht="13.5" x14ac:dyDescent="0.25">
      <c r="A394" s="94" t="s">
        <v>626</v>
      </c>
      <c r="B394" s="95" t="s">
        <v>280</v>
      </c>
      <c r="C394" s="94" t="s">
        <v>626</v>
      </c>
      <c r="D394" s="94" t="s">
        <v>261</v>
      </c>
      <c r="E394" s="96">
        <v>35061</v>
      </c>
      <c r="F394" s="97">
        <f t="shared" ca="1" si="14"/>
        <v>20</v>
      </c>
      <c r="G394" s="98" t="s">
        <v>283</v>
      </c>
      <c r="H394" s="99">
        <v>26790</v>
      </c>
      <c r="I394" s="100">
        <v>2</v>
      </c>
    </row>
    <row r="395" spans="1:9" ht="13.5" x14ac:dyDescent="0.25">
      <c r="A395" s="94" t="s">
        <v>626</v>
      </c>
      <c r="B395" s="95" t="s">
        <v>251</v>
      </c>
      <c r="C395" s="94" t="s">
        <v>626</v>
      </c>
      <c r="D395" s="94" t="s">
        <v>256</v>
      </c>
      <c r="E395" s="96">
        <v>35082</v>
      </c>
      <c r="F395" s="97">
        <f t="shared" ca="1" si="14"/>
        <v>20</v>
      </c>
      <c r="G395" s="98" t="s">
        <v>283</v>
      </c>
      <c r="H395" s="99">
        <v>51410</v>
      </c>
      <c r="I395" s="100">
        <v>4</v>
      </c>
    </row>
    <row r="396" spans="1:9" ht="13.5" x14ac:dyDescent="0.25">
      <c r="A396" s="94" t="s">
        <v>626</v>
      </c>
      <c r="B396" s="95" t="s">
        <v>271</v>
      </c>
      <c r="C396" s="94" t="s">
        <v>626</v>
      </c>
      <c r="D396" s="94" t="s">
        <v>256</v>
      </c>
      <c r="E396" s="96">
        <v>35146</v>
      </c>
      <c r="F396" s="97">
        <f t="shared" ca="1" si="14"/>
        <v>20</v>
      </c>
      <c r="G396" s="98" t="s">
        <v>283</v>
      </c>
      <c r="H396" s="99">
        <v>43460</v>
      </c>
      <c r="I396" s="100">
        <v>5</v>
      </c>
    </row>
    <row r="397" spans="1:9" ht="13.5" x14ac:dyDescent="0.25">
      <c r="A397" s="94" t="s">
        <v>626</v>
      </c>
      <c r="B397" s="95" t="s">
        <v>285</v>
      </c>
      <c r="C397" s="94" t="s">
        <v>626</v>
      </c>
      <c r="D397" s="94" t="s">
        <v>256</v>
      </c>
      <c r="E397" s="96">
        <v>35153</v>
      </c>
      <c r="F397" s="97">
        <f t="shared" ca="1" si="14"/>
        <v>20</v>
      </c>
      <c r="G397" s="98" t="s">
        <v>257</v>
      </c>
      <c r="H397" s="99">
        <v>44220</v>
      </c>
      <c r="I397" s="100">
        <v>3</v>
      </c>
    </row>
    <row r="398" spans="1:9" ht="13.5" x14ac:dyDescent="0.25">
      <c r="A398" s="94" t="s">
        <v>626</v>
      </c>
      <c r="B398" s="95" t="s">
        <v>245</v>
      </c>
      <c r="C398" s="94" t="s">
        <v>626</v>
      </c>
      <c r="D398" s="94" t="s">
        <v>256</v>
      </c>
      <c r="E398" s="96">
        <v>35352</v>
      </c>
      <c r="F398" s="97">
        <f t="shared" ca="1" si="14"/>
        <v>20</v>
      </c>
      <c r="G398" s="98" t="s">
        <v>283</v>
      </c>
      <c r="H398" s="99">
        <v>52490</v>
      </c>
      <c r="I398" s="100">
        <v>4</v>
      </c>
    </row>
    <row r="399" spans="1:9" ht="13.5" x14ac:dyDescent="0.25">
      <c r="A399" s="94" t="s">
        <v>626</v>
      </c>
      <c r="B399" s="95" t="s">
        <v>285</v>
      </c>
      <c r="C399" s="94" t="s">
        <v>626</v>
      </c>
      <c r="D399" s="94" t="s">
        <v>247</v>
      </c>
      <c r="E399" s="96">
        <v>35393</v>
      </c>
      <c r="F399" s="97">
        <f t="shared" ca="1" si="14"/>
        <v>19</v>
      </c>
      <c r="G399" s="98"/>
      <c r="H399" s="99">
        <v>50200</v>
      </c>
      <c r="I399" s="100">
        <v>4</v>
      </c>
    </row>
    <row r="400" spans="1:9" ht="13.5" x14ac:dyDescent="0.25">
      <c r="A400" s="94" t="s">
        <v>626</v>
      </c>
      <c r="B400" s="95" t="s">
        <v>245</v>
      </c>
      <c r="C400" s="94" t="s">
        <v>626</v>
      </c>
      <c r="D400" s="94" t="s">
        <v>256</v>
      </c>
      <c r="E400" s="96">
        <v>35630</v>
      </c>
      <c r="F400" s="97">
        <f t="shared" ca="1" si="14"/>
        <v>19</v>
      </c>
      <c r="G400" s="98" t="s">
        <v>257</v>
      </c>
      <c r="H400" s="99">
        <v>48990</v>
      </c>
      <c r="I400" s="100">
        <v>5</v>
      </c>
    </row>
    <row r="401" spans="1:9" ht="13.5" x14ac:dyDescent="0.25">
      <c r="A401" s="94" t="s">
        <v>626</v>
      </c>
      <c r="B401" s="95" t="s">
        <v>245</v>
      </c>
      <c r="C401" s="94" t="s">
        <v>626</v>
      </c>
      <c r="D401" s="94" t="s">
        <v>261</v>
      </c>
      <c r="E401" s="96">
        <v>35828</v>
      </c>
      <c r="F401" s="97">
        <f t="shared" ca="1" si="14"/>
        <v>18</v>
      </c>
      <c r="G401" s="98" t="s">
        <v>262</v>
      </c>
      <c r="H401" s="99">
        <v>31110</v>
      </c>
      <c r="I401" s="100">
        <v>1</v>
      </c>
    </row>
    <row r="402" spans="1:9" ht="13.5" x14ac:dyDescent="0.25">
      <c r="A402" s="94" t="s">
        <v>626</v>
      </c>
      <c r="B402" s="95" t="s">
        <v>280</v>
      </c>
      <c r="C402" s="94" t="s">
        <v>626</v>
      </c>
      <c r="D402" s="94" t="s">
        <v>261</v>
      </c>
      <c r="E402" s="96">
        <v>35831</v>
      </c>
      <c r="F402" s="97">
        <f t="shared" ca="1" si="14"/>
        <v>18</v>
      </c>
      <c r="G402" s="98" t="s">
        <v>276</v>
      </c>
      <c r="H402" s="99">
        <v>15910</v>
      </c>
      <c r="I402" s="100">
        <v>3</v>
      </c>
    </row>
    <row r="403" spans="1:9" ht="13.5" x14ac:dyDescent="0.25">
      <c r="A403" s="94" t="s">
        <v>626</v>
      </c>
      <c r="B403" s="95" t="s">
        <v>271</v>
      </c>
      <c r="C403" s="94" t="s">
        <v>626</v>
      </c>
      <c r="D403" s="94" t="s">
        <v>261</v>
      </c>
      <c r="E403" s="96">
        <v>35856</v>
      </c>
      <c r="F403" s="97">
        <f t="shared" ca="1" si="14"/>
        <v>18</v>
      </c>
      <c r="G403" s="98" t="s">
        <v>262</v>
      </c>
      <c r="H403" s="99">
        <v>47295</v>
      </c>
      <c r="I403" s="100">
        <v>4</v>
      </c>
    </row>
    <row r="404" spans="1:9" ht="13.5" x14ac:dyDescent="0.25">
      <c r="A404" s="94" t="s">
        <v>626</v>
      </c>
      <c r="B404" s="95" t="s">
        <v>285</v>
      </c>
      <c r="C404" s="94" t="s">
        <v>626</v>
      </c>
      <c r="D404" s="94" t="s">
        <v>261</v>
      </c>
      <c r="E404" s="96">
        <v>37052</v>
      </c>
      <c r="F404" s="97">
        <f t="shared" ca="1" si="14"/>
        <v>15</v>
      </c>
      <c r="G404" s="98" t="s">
        <v>257</v>
      </c>
      <c r="H404" s="99">
        <v>31255</v>
      </c>
      <c r="I404" s="100">
        <v>5</v>
      </c>
    </row>
    <row r="405" spans="1:9" ht="13.5" x14ac:dyDescent="0.25">
      <c r="A405" s="94" t="s">
        <v>626</v>
      </c>
      <c r="B405" s="95" t="s">
        <v>251</v>
      </c>
      <c r="C405" s="94" t="s">
        <v>626</v>
      </c>
      <c r="D405" s="94" t="s">
        <v>247</v>
      </c>
      <c r="E405" s="96">
        <v>37186</v>
      </c>
      <c r="F405" s="97">
        <f t="shared" ca="1" si="14"/>
        <v>15</v>
      </c>
      <c r="G405" s="98"/>
      <c r="H405" s="99">
        <v>57520</v>
      </c>
      <c r="I405" s="100">
        <v>3</v>
      </c>
    </row>
    <row r="406" spans="1:9" ht="13.5" x14ac:dyDescent="0.25">
      <c r="A406" s="94" t="s">
        <v>626</v>
      </c>
      <c r="B406" s="95" t="s">
        <v>245</v>
      </c>
      <c r="C406" s="94" t="s">
        <v>626</v>
      </c>
      <c r="D406" s="94" t="s">
        <v>261</v>
      </c>
      <c r="E406" s="96">
        <v>37788</v>
      </c>
      <c r="F406" s="97">
        <f t="shared" ca="1" si="14"/>
        <v>13</v>
      </c>
      <c r="G406" s="98" t="s">
        <v>283</v>
      </c>
      <c r="H406" s="99">
        <v>47705</v>
      </c>
      <c r="I406" s="100">
        <v>5</v>
      </c>
    </row>
    <row r="407" spans="1:9" ht="13.5" x14ac:dyDescent="0.25">
      <c r="A407" s="94" t="s">
        <v>626</v>
      </c>
      <c r="B407" s="95" t="s">
        <v>245</v>
      </c>
      <c r="C407" s="94" t="s">
        <v>626</v>
      </c>
      <c r="D407" s="94" t="s">
        <v>261</v>
      </c>
      <c r="E407" s="96">
        <v>37788</v>
      </c>
      <c r="F407" s="97">
        <f t="shared" ca="1" si="14"/>
        <v>13</v>
      </c>
      <c r="G407" s="98" t="s">
        <v>283</v>
      </c>
      <c r="H407" s="99">
        <v>47705</v>
      </c>
      <c r="I407" s="100">
        <v>5</v>
      </c>
    </row>
    <row r="408" spans="1:9" ht="13.5" x14ac:dyDescent="0.25">
      <c r="A408" s="94" t="s">
        <v>626</v>
      </c>
      <c r="B408" s="95" t="s">
        <v>245</v>
      </c>
      <c r="C408" s="94" t="s">
        <v>626</v>
      </c>
      <c r="D408" s="94" t="s">
        <v>256</v>
      </c>
      <c r="E408" s="96">
        <v>37847</v>
      </c>
      <c r="F408" s="97">
        <f t="shared" ca="1" si="14"/>
        <v>13</v>
      </c>
      <c r="G408" s="98" t="s">
        <v>283</v>
      </c>
      <c r="H408" s="99">
        <v>47610</v>
      </c>
      <c r="I408" s="100">
        <v>4</v>
      </c>
    </row>
    <row r="409" spans="1:9" ht="13.5" x14ac:dyDescent="0.25">
      <c r="A409" s="94" t="s">
        <v>626</v>
      </c>
      <c r="B409" s="95" t="s">
        <v>271</v>
      </c>
      <c r="C409" s="94" t="s">
        <v>626</v>
      </c>
      <c r="D409" s="94" t="s">
        <v>247</v>
      </c>
      <c r="E409" s="96">
        <v>37973</v>
      </c>
      <c r="F409" s="97">
        <f t="shared" ca="1" si="14"/>
        <v>12</v>
      </c>
      <c r="G409" s="98"/>
      <c r="H409" s="99">
        <v>74470</v>
      </c>
      <c r="I409" s="100">
        <v>3</v>
      </c>
    </row>
    <row r="410" spans="1:9" ht="13.5" x14ac:dyDescent="0.25">
      <c r="A410" s="94" t="s">
        <v>626</v>
      </c>
      <c r="B410" s="95" t="s">
        <v>245</v>
      </c>
      <c r="C410" s="94" t="s">
        <v>626</v>
      </c>
      <c r="D410" s="94" t="s">
        <v>261</v>
      </c>
      <c r="E410" s="96">
        <v>38561</v>
      </c>
      <c r="F410" s="97">
        <f t="shared" ca="1" si="14"/>
        <v>11</v>
      </c>
      <c r="G410" s="98" t="s">
        <v>267</v>
      </c>
      <c r="H410" s="99">
        <v>38575</v>
      </c>
      <c r="I410" s="100">
        <v>2</v>
      </c>
    </row>
    <row r="411" spans="1:9" ht="13.5" x14ac:dyDescent="0.25">
      <c r="A411" s="94" t="s">
        <v>626</v>
      </c>
      <c r="B411" s="95" t="s">
        <v>266</v>
      </c>
      <c r="C411" s="94" t="s">
        <v>626</v>
      </c>
      <c r="D411" s="94" t="s">
        <v>256</v>
      </c>
      <c r="E411" s="96">
        <v>38773</v>
      </c>
      <c r="F411" s="97">
        <f t="shared" ca="1" si="14"/>
        <v>10</v>
      </c>
      <c r="G411" s="98" t="s">
        <v>283</v>
      </c>
      <c r="H411" s="99">
        <v>44150</v>
      </c>
      <c r="I411" s="100">
        <v>4</v>
      </c>
    </row>
    <row r="412" spans="1:9" ht="13.5" x14ac:dyDescent="0.25">
      <c r="A412" s="94" t="s">
        <v>626</v>
      </c>
      <c r="B412" s="95" t="s">
        <v>271</v>
      </c>
      <c r="C412" s="94" t="s">
        <v>626</v>
      </c>
      <c r="D412" s="94" t="s">
        <v>256</v>
      </c>
      <c r="E412" s="96">
        <v>38899</v>
      </c>
      <c r="F412" s="97">
        <f t="shared" ca="1" si="14"/>
        <v>10</v>
      </c>
      <c r="G412" s="98" t="s">
        <v>283</v>
      </c>
      <c r="H412" s="99">
        <v>45260</v>
      </c>
      <c r="I412" s="100">
        <v>4</v>
      </c>
    </row>
    <row r="413" spans="1:9" ht="13.5" x14ac:dyDescent="0.25">
      <c r="A413" s="94" t="s">
        <v>626</v>
      </c>
      <c r="B413" s="95" t="s">
        <v>271</v>
      </c>
      <c r="C413" s="94" t="s">
        <v>626</v>
      </c>
      <c r="D413" s="94" t="s">
        <v>261</v>
      </c>
      <c r="E413" s="96">
        <v>39041</v>
      </c>
      <c r="F413" s="97">
        <f t="shared" ca="1" si="14"/>
        <v>9</v>
      </c>
      <c r="G413" s="98" t="s">
        <v>283</v>
      </c>
      <c r="H413" s="99">
        <v>20040</v>
      </c>
      <c r="I413" s="100">
        <v>3</v>
      </c>
    </row>
    <row r="414" spans="1:9" ht="13.5" x14ac:dyDescent="0.25">
      <c r="A414" s="94" t="s">
        <v>626</v>
      </c>
      <c r="B414" s="95" t="s">
        <v>271</v>
      </c>
      <c r="C414" s="94" t="s">
        <v>626</v>
      </c>
      <c r="D414" s="94" t="s">
        <v>256</v>
      </c>
      <c r="E414" s="96">
        <v>39051</v>
      </c>
      <c r="F414" s="97">
        <f t="shared" ca="1" si="14"/>
        <v>9</v>
      </c>
      <c r="G414" s="98" t="s">
        <v>267</v>
      </c>
      <c r="H414" s="99">
        <v>75780</v>
      </c>
      <c r="I414" s="100">
        <v>2</v>
      </c>
    </row>
    <row r="415" spans="1:9" ht="13.5" x14ac:dyDescent="0.25">
      <c r="A415" s="94" t="s">
        <v>626</v>
      </c>
      <c r="B415" s="95" t="s">
        <v>271</v>
      </c>
      <c r="C415" s="94" t="s">
        <v>626</v>
      </c>
      <c r="D415" s="94" t="s">
        <v>256</v>
      </c>
      <c r="E415" s="96">
        <v>39137</v>
      </c>
      <c r="F415" s="97">
        <f t="shared" ca="1" si="14"/>
        <v>9</v>
      </c>
      <c r="G415" s="98" t="s">
        <v>257</v>
      </c>
      <c r="H415" s="99">
        <v>33970</v>
      </c>
      <c r="I415" s="100">
        <v>4</v>
      </c>
    </row>
    <row r="416" spans="1:9" ht="13.5" x14ac:dyDescent="0.25">
      <c r="A416" s="94" t="s">
        <v>626</v>
      </c>
      <c r="B416" s="95" t="s">
        <v>271</v>
      </c>
      <c r="C416" s="94" t="s">
        <v>626</v>
      </c>
      <c r="D416" s="94" t="s">
        <v>256</v>
      </c>
      <c r="E416" s="96">
        <v>39137</v>
      </c>
      <c r="F416" s="97">
        <f t="shared" ca="1" si="14"/>
        <v>9</v>
      </c>
      <c r="G416" s="98" t="s">
        <v>257</v>
      </c>
      <c r="H416" s="99">
        <v>33970</v>
      </c>
      <c r="I416" s="100">
        <v>4</v>
      </c>
    </row>
    <row r="417" spans="1:9" ht="13.5" x14ac:dyDescent="0.25">
      <c r="A417" s="101" t="s">
        <v>1049</v>
      </c>
      <c r="B417" s="95"/>
      <c r="C417" s="101"/>
      <c r="D417" s="94"/>
      <c r="E417" s="96"/>
      <c r="F417" s="97"/>
      <c r="G417" s="98"/>
      <c r="H417" s="99"/>
      <c r="I417" s="100"/>
    </row>
    <row r="418" spans="1:9" ht="13.5" x14ac:dyDescent="0.25">
      <c r="A418" s="94" t="s">
        <v>678</v>
      </c>
      <c r="B418" s="95" t="s">
        <v>280</v>
      </c>
      <c r="C418" s="94" t="s">
        <v>678</v>
      </c>
      <c r="D418" s="94" t="s">
        <v>256</v>
      </c>
      <c r="E418" s="96">
        <v>32307</v>
      </c>
      <c r="F418" s="97">
        <f t="shared" ref="F418:F438" ca="1" si="15">DATEDIF(E418,TODAY(),"Y")</f>
        <v>28</v>
      </c>
      <c r="G418" s="98" t="s">
        <v>257</v>
      </c>
      <c r="H418" s="99">
        <v>39110</v>
      </c>
      <c r="I418" s="100">
        <v>5</v>
      </c>
    </row>
    <row r="419" spans="1:9" ht="13.5" x14ac:dyDescent="0.25">
      <c r="A419" s="94" t="s">
        <v>678</v>
      </c>
      <c r="B419" s="95" t="s">
        <v>285</v>
      </c>
      <c r="C419" s="94" t="s">
        <v>678</v>
      </c>
      <c r="D419" s="94" t="s">
        <v>256</v>
      </c>
      <c r="E419" s="96">
        <v>32431</v>
      </c>
      <c r="F419" s="97">
        <f t="shared" ca="1" si="15"/>
        <v>28</v>
      </c>
      <c r="G419" s="98" t="s">
        <v>257</v>
      </c>
      <c r="H419" s="99">
        <v>48550</v>
      </c>
      <c r="I419" s="100">
        <v>5</v>
      </c>
    </row>
    <row r="420" spans="1:9" ht="13.5" x14ac:dyDescent="0.25">
      <c r="A420" s="94" t="s">
        <v>678</v>
      </c>
      <c r="B420" s="95" t="s">
        <v>285</v>
      </c>
      <c r="C420" s="94" t="s">
        <v>678</v>
      </c>
      <c r="D420" s="94" t="s">
        <v>256</v>
      </c>
      <c r="E420" s="96">
        <v>32594</v>
      </c>
      <c r="F420" s="97">
        <f t="shared" ca="1" si="15"/>
        <v>27</v>
      </c>
      <c r="G420" s="98" t="s">
        <v>262</v>
      </c>
      <c r="H420" s="99">
        <v>87980</v>
      </c>
      <c r="I420" s="100">
        <v>1</v>
      </c>
    </row>
    <row r="421" spans="1:9" ht="13.5" x14ac:dyDescent="0.25">
      <c r="A421" s="94" t="s">
        <v>678</v>
      </c>
      <c r="B421" s="95" t="s">
        <v>285</v>
      </c>
      <c r="C421" s="94" t="s">
        <v>678</v>
      </c>
      <c r="D421" s="94" t="s">
        <v>256</v>
      </c>
      <c r="E421" s="96">
        <v>33811</v>
      </c>
      <c r="F421" s="97">
        <f t="shared" ca="1" si="15"/>
        <v>24</v>
      </c>
      <c r="G421" s="98" t="s">
        <v>283</v>
      </c>
      <c r="H421" s="99">
        <v>22860</v>
      </c>
      <c r="I421" s="100">
        <v>5</v>
      </c>
    </row>
    <row r="422" spans="1:9" ht="13.5" x14ac:dyDescent="0.25">
      <c r="A422" s="94" t="s">
        <v>678</v>
      </c>
      <c r="B422" s="95" t="s">
        <v>280</v>
      </c>
      <c r="C422" s="94" t="s">
        <v>678</v>
      </c>
      <c r="D422" s="94" t="s">
        <v>261</v>
      </c>
      <c r="E422" s="96">
        <v>33840</v>
      </c>
      <c r="F422" s="97">
        <f t="shared" ca="1" si="15"/>
        <v>24</v>
      </c>
      <c r="G422" s="98" t="s">
        <v>257</v>
      </c>
      <c r="H422" s="99">
        <v>49405</v>
      </c>
      <c r="I422" s="100">
        <v>4</v>
      </c>
    </row>
    <row r="423" spans="1:9" ht="13.5" x14ac:dyDescent="0.25">
      <c r="A423" s="94" t="s">
        <v>678</v>
      </c>
      <c r="B423" s="95" t="s">
        <v>271</v>
      </c>
      <c r="C423" s="94" t="s">
        <v>678</v>
      </c>
      <c r="D423" s="94" t="s">
        <v>252</v>
      </c>
      <c r="E423" s="96">
        <v>34071</v>
      </c>
      <c r="F423" s="97">
        <f t="shared" ca="1" si="15"/>
        <v>23</v>
      </c>
      <c r="G423" s="98"/>
      <c r="H423" s="99">
        <v>35312</v>
      </c>
      <c r="I423" s="100">
        <v>3</v>
      </c>
    </row>
    <row r="424" spans="1:9" ht="13.5" x14ac:dyDescent="0.25">
      <c r="A424" s="94" t="s">
        <v>678</v>
      </c>
      <c r="B424" s="95" t="s">
        <v>285</v>
      </c>
      <c r="C424" s="94" t="s">
        <v>678</v>
      </c>
      <c r="D424" s="94" t="s">
        <v>247</v>
      </c>
      <c r="E424" s="96">
        <v>34137</v>
      </c>
      <c r="F424" s="97">
        <f t="shared" ca="1" si="15"/>
        <v>23</v>
      </c>
      <c r="G424" s="98"/>
      <c r="H424" s="99">
        <v>54190</v>
      </c>
      <c r="I424" s="100">
        <v>4</v>
      </c>
    </row>
    <row r="425" spans="1:9" ht="13.5" x14ac:dyDescent="0.25">
      <c r="A425" s="94" t="s">
        <v>678</v>
      </c>
      <c r="B425" s="95" t="s">
        <v>251</v>
      </c>
      <c r="C425" s="94" t="s">
        <v>678</v>
      </c>
      <c r="D425" s="94" t="s">
        <v>247</v>
      </c>
      <c r="E425" s="96">
        <v>34414</v>
      </c>
      <c r="F425" s="97">
        <f t="shared" ca="1" si="15"/>
        <v>22</v>
      </c>
      <c r="G425" s="98"/>
      <c r="H425" s="99">
        <v>86470</v>
      </c>
      <c r="I425" s="100">
        <v>4</v>
      </c>
    </row>
    <row r="426" spans="1:9" ht="13.5" x14ac:dyDescent="0.25">
      <c r="A426" s="94" t="s">
        <v>678</v>
      </c>
      <c r="B426" s="95" t="s">
        <v>271</v>
      </c>
      <c r="C426" s="94" t="s">
        <v>678</v>
      </c>
      <c r="D426" s="94" t="s">
        <v>261</v>
      </c>
      <c r="E426" s="96">
        <v>34651</v>
      </c>
      <c r="F426" s="97">
        <f t="shared" ca="1" si="15"/>
        <v>21</v>
      </c>
      <c r="G426" s="98" t="s">
        <v>257</v>
      </c>
      <c r="H426" s="99">
        <v>20500</v>
      </c>
      <c r="I426" s="100">
        <v>3</v>
      </c>
    </row>
    <row r="427" spans="1:9" ht="13.5" x14ac:dyDescent="0.25">
      <c r="A427" s="94" t="s">
        <v>678</v>
      </c>
      <c r="B427" s="95" t="s">
        <v>245</v>
      </c>
      <c r="C427" s="94" t="s">
        <v>678</v>
      </c>
      <c r="D427" s="94" t="s">
        <v>247</v>
      </c>
      <c r="E427" s="96">
        <v>34737</v>
      </c>
      <c r="F427" s="97">
        <f t="shared" ca="1" si="15"/>
        <v>21</v>
      </c>
      <c r="G427" s="98"/>
      <c r="H427" s="99">
        <v>72480</v>
      </c>
      <c r="I427" s="100">
        <v>2</v>
      </c>
    </row>
    <row r="428" spans="1:9" ht="13.5" x14ac:dyDescent="0.25">
      <c r="A428" s="94" t="s">
        <v>678</v>
      </c>
      <c r="B428" s="95" t="s">
        <v>271</v>
      </c>
      <c r="C428" s="94" t="s">
        <v>678</v>
      </c>
      <c r="D428" s="94" t="s">
        <v>252</v>
      </c>
      <c r="E428" s="96">
        <v>34774</v>
      </c>
      <c r="F428" s="97">
        <f t="shared" ca="1" si="15"/>
        <v>21</v>
      </c>
      <c r="G428" s="98"/>
      <c r="H428" s="99">
        <v>21668</v>
      </c>
      <c r="I428" s="100">
        <v>4</v>
      </c>
    </row>
    <row r="429" spans="1:9" ht="13.5" x14ac:dyDescent="0.25">
      <c r="A429" s="94" t="s">
        <v>678</v>
      </c>
      <c r="B429" s="95" t="s">
        <v>271</v>
      </c>
      <c r="C429" s="94" t="s">
        <v>678</v>
      </c>
      <c r="D429" s="94" t="s">
        <v>256</v>
      </c>
      <c r="E429" s="96">
        <v>34865</v>
      </c>
      <c r="F429" s="97">
        <f t="shared" ca="1" si="15"/>
        <v>21</v>
      </c>
      <c r="G429" s="98" t="s">
        <v>283</v>
      </c>
      <c r="H429" s="99">
        <v>23520</v>
      </c>
      <c r="I429" s="100">
        <v>2</v>
      </c>
    </row>
    <row r="430" spans="1:9" ht="13.5" x14ac:dyDescent="0.25">
      <c r="A430" s="94" t="s">
        <v>678</v>
      </c>
      <c r="B430" s="95" t="s">
        <v>266</v>
      </c>
      <c r="C430" s="94" t="s">
        <v>678</v>
      </c>
      <c r="D430" s="94" t="s">
        <v>256</v>
      </c>
      <c r="E430" s="96">
        <v>35156</v>
      </c>
      <c r="F430" s="97">
        <f t="shared" ca="1" si="15"/>
        <v>20</v>
      </c>
      <c r="G430" s="98" t="s">
        <v>283</v>
      </c>
      <c r="H430" s="99">
        <v>68410</v>
      </c>
      <c r="I430" s="100">
        <v>5</v>
      </c>
    </row>
    <row r="431" spans="1:9" ht="13.5" x14ac:dyDescent="0.25">
      <c r="A431" s="94" t="s">
        <v>678</v>
      </c>
      <c r="B431" s="95" t="s">
        <v>280</v>
      </c>
      <c r="C431" s="94" t="s">
        <v>678</v>
      </c>
      <c r="D431" s="94" t="s">
        <v>256</v>
      </c>
      <c r="E431" s="96">
        <v>35257</v>
      </c>
      <c r="F431" s="97">
        <f t="shared" ca="1" si="15"/>
        <v>20</v>
      </c>
      <c r="G431" s="98" t="s">
        <v>276</v>
      </c>
      <c r="H431" s="99">
        <v>45450</v>
      </c>
      <c r="I431" s="100">
        <v>5</v>
      </c>
    </row>
    <row r="432" spans="1:9" ht="13.5" x14ac:dyDescent="0.25">
      <c r="A432" s="94" t="s">
        <v>678</v>
      </c>
      <c r="B432" s="95" t="s">
        <v>271</v>
      </c>
      <c r="C432" s="94" t="s">
        <v>678</v>
      </c>
      <c r="D432" s="94" t="s">
        <v>256</v>
      </c>
      <c r="E432" s="96">
        <v>35588</v>
      </c>
      <c r="F432" s="97">
        <f t="shared" ca="1" si="15"/>
        <v>19</v>
      </c>
      <c r="G432" s="98" t="s">
        <v>257</v>
      </c>
      <c r="H432" s="99">
        <v>71820</v>
      </c>
      <c r="I432" s="100">
        <v>2</v>
      </c>
    </row>
    <row r="433" spans="1:9" ht="13.5" x14ac:dyDescent="0.25">
      <c r="A433" s="94" t="s">
        <v>678</v>
      </c>
      <c r="B433" s="95" t="s">
        <v>245</v>
      </c>
      <c r="C433" s="94" t="s">
        <v>678</v>
      </c>
      <c r="D433" s="94" t="s">
        <v>247</v>
      </c>
      <c r="E433" s="96">
        <v>35926</v>
      </c>
      <c r="F433" s="97">
        <f t="shared" ca="1" si="15"/>
        <v>18</v>
      </c>
      <c r="G433" s="98"/>
      <c r="H433" s="99">
        <v>29540</v>
      </c>
      <c r="I433" s="100">
        <v>3</v>
      </c>
    </row>
    <row r="434" spans="1:9" ht="13.5" x14ac:dyDescent="0.25">
      <c r="A434" s="94" t="s">
        <v>678</v>
      </c>
      <c r="B434" s="95" t="s">
        <v>285</v>
      </c>
      <c r="C434" s="94" t="s">
        <v>678</v>
      </c>
      <c r="D434" s="94" t="s">
        <v>247</v>
      </c>
      <c r="E434" s="96">
        <v>36493</v>
      </c>
      <c r="F434" s="97">
        <f t="shared" ca="1" si="15"/>
        <v>16</v>
      </c>
      <c r="G434" s="98"/>
      <c r="H434" s="99">
        <v>78100</v>
      </c>
      <c r="I434" s="100">
        <v>3</v>
      </c>
    </row>
    <row r="435" spans="1:9" ht="13.5" x14ac:dyDescent="0.25">
      <c r="A435" s="94" t="s">
        <v>678</v>
      </c>
      <c r="B435" s="95" t="s">
        <v>266</v>
      </c>
      <c r="C435" s="94" t="s">
        <v>678</v>
      </c>
      <c r="D435" s="94" t="s">
        <v>252</v>
      </c>
      <c r="E435" s="96">
        <v>36517</v>
      </c>
      <c r="F435" s="97">
        <f t="shared" ca="1" si="15"/>
        <v>16</v>
      </c>
      <c r="G435" s="98"/>
      <c r="H435" s="99">
        <v>11044</v>
      </c>
      <c r="I435" s="100">
        <v>2</v>
      </c>
    </row>
    <row r="436" spans="1:9" ht="13.5" x14ac:dyDescent="0.25">
      <c r="A436" s="94" t="s">
        <v>678</v>
      </c>
      <c r="B436" s="95" t="s">
        <v>251</v>
      </c>
      <c r="C436" s="94" t="s">
        <v>678</v>
      </c>
      <c r="D436" s="94" t="s">
        <v>247</v>
      </c>
      <c r="E436" s="96">
        <v>39023</v>
      </c>
      <c r="F436" s="97">
        <f t="shared" ca="1" si="15"/>
        <v>10</v>
      </c>
      <c r="G436" s="98"/>
      <c r="H436" s="99">
        <v>74020</v>
      </c>
      <c r="I436" s="100">
        <v>2</v>
      </c>
    </row>
    <row r="437" spans="1:9" ht="13.5" x14ac:dyDescent="0.25">
      <c r="A437" s="94" t="s">
        <v>678</v>
      </c>
      <c r="B437" s="95" t="s">
        <v>271</v>
      </c>
      <c r="C437" s="94" t="s">
        <v>678</v>
      </c>
      <c r="D437" s="94" t="s">
        <v>247</v>
      </c>
      <c r="E437" s="96">
        <v>39062</v>
      </c>
      <c r="F437" s="97">
        <f t="shared" ca="1" si="15"/>
        <v>9</v>
      </c>
      <c r="G437" s="98"/>
      <c r="H437" s="99">
        <v>75100</v>
      </c>
      <c r="I437" s="100">
        <v>4</v>
      </c>
    </row>
    <row r="438" spans="1:9" ht="13.5" x14ac:dyDescent="0.25">
      <c r="A438" s="94" t="s">
        <v>678</v>
      </c>
      <c r="B438" s="95" t="s">
        <v>280</v>
      </c>
      <c r="C438" s="94" t="s">
        <v>678</v>
      </c>
      <c r="D438" s="94" t="s">
        <v>256</v>
      </c>
      <c r="E438" s="96">
        <v>39223</v>
      </c>
      <c r="F438" s="97">
        <f t="shared" ca="1" si="15"/>
        <v>9</v>
      </c>
      <c r="G438" s="98" t="s">
        <v>276</v>
      </c>
      <c r="H438" s="99">
        <v>62180</v>
      </c>
      <c r="I438" s="100">
        <v>2</v>
      </c>
    </row>
    <row r="439" spans="1:9" ht="13.5" x14ac:dyDescent="0.25">
      <c r="A439" s="101" t="s">
        <v>1050</v>
      </c>
      <c r="B439" s="95"/>
      <c r="C439" s="101"/>
      <c r="D439" s="94"/>
      <c r="E439" s="96"/>
      <c r="F439" s="97"/>
      <c r="G439" s="98"/>
      <c r="H439" s="99"/>
      <c r="I439" s="100"/>
    </row>
    <row r="440" spans="1:9" ht="13.5" x14ac:dyDescent="0.25">
      <c r="A440" s="94" t="s">
        <v>700</v>
      </c>
      <c r="B440" s="95" t="s">
        <v>245</v>
      </c>
      <c r="C440" s="94" t="s">
        <v>700</v>
      </c>
      <c r="D440" s="94" t="s">
        <v>247</v>
      </c>
      <c r="E440" s="96">
        <v>33098</v>
      </c>
      <c r="F440" s="97">
        <f ca="1">DATEDIF(E440,TODAY(),"Y")</f>
        <v>26</v>
      </c>
      <c r="G440" s="98"/>
      <c r="H440" s="99">
        <v>71700</v>
      </c>
      <c r="I440" s="100">
        <v>2</v>
      </c>
    </row>
    <row r="441" spans="1:9" ht="13.5" x14ac:dyDescent="0.25">
      <c r="A441" s="94" t="s">
        <v>700</v>
      </c>
      <c r="B441" s="95" t="s">
        <v>285</v>
      </c>
      <c r="C441" s="94" t="s">
        <v>700</v>
      </c>
      <c r="D441" s="94" t="s">
        <v>256</v>
      </c>
      <c r="E441" s="96">
        <v>33504</v>
      </c>
      <c r="F441" s="97">
        <f ca="1">DATEDIF(E441,TODAY(),"Y")</f>
        <v>25</v>
      </c>
      <c r="G441" s="98" t="s">
        <v>257</v>
      </c>
      <c r="H441" s="99">
        <v>63190</v>
      </c>
      <c r="I441" s="100">
        <v>1</v>
      </c>
    </row>
    <row r="442" spans="1:9" ht="13.5" x14ac:dyDescent="0.25">
      <c r="A442" s="94" t="s">
        <v>700</v>
      </c>
      <c r="B442" s="95" t="s">
        <v>245</v>
      </c>
      <c r="C442" s="94" t="s">
        <v>700</v>
      </c>
      <c r="D442" s="94" t="s">
        <v>247</v>
      </c>
      <c r="E442" s="96">
        <v>34141</v>
      </c>
      <c r="F442" s="97">
        <f ca="1">DATEDIF(E442,TODAY(),"Y")</f>
        <v>23</v>
      </c>
      <c r="G442" s="98"/>
      <c r="H442" s="99">
        <v>25120</v>
      </c>
      <c r="I442" s="100">
        <v>2</v>
      </c>
    </row>
    <row r="443" spans="1:9" ht="13.5" x14ac:dyDescent="0.25">
      <c r="A443" s="94" t="s">
        <v>700</v>
      </c>
      <c r="B443" s="95" t="s">
        <v>271</v>
      </c>
      <c r="C443" s="94" t="s">
        <v>700</v>
      </c>
      <c r="D443" s="94" t="s">
        <v>247</v>
      </c>
      <c r="E443" s="96">
        <v>34257</v>
      </c>
      <c r="F443" s="97">
        <f ca="1">DATEDIF(E443,TODAY(),"Y")</f>
        <v>23</v>
      </c>
      <c r="G443" s="98"/>
      <c r="H443" s="99">
        <v>44820</v>
      </c>
      <c r="I443" s="100">
        <v>4</v>
      </c>
    </row>
    <row r="444" spans="1:9" ht="13.5" x14ac:dyDescent="0.25">
      <c r="A444" s="101" t="s">
        <v>1051</v>
      </c>
      <c r="B444" s="95"/>
      <c r="C444" s="101"/>
      <c r="D444" s="94"/>
      <c r="E444" s="96"/>
      <c r="F444" s="97"/>
      <c r="G444" s="98"/>
      <c r="H444" s="99"/>
      <c r="I444" s="100"/>
    </row>
    <row r="445" spans="1:9" ht="13.5" x14ac:dyDescent="0.25">
      <c r="A445" s="94" t="s">
        <v>705</v>
      </c>
      <c r="B445" s="95" t="s">
        <v>285</v>
      </c>
      <c r="C445" s="94" t="s">
        <v>705</v>
      </c>
      <c r="D445" s="94" t="s">
        <v>256</v>
      </c>
      <c r="E445" s="96">
        <v>32147</v>
      </c>
      <c r="F445" s="97">
        <f t="shared" ref="F445:F488" ca="1" si="16">DATEDIF(E445,TODAY(),"Y")</f>
        <v>28</v>
      </c>
      <c r="G445" s="98" t="s">
        <v>267</v>
      </c>
      <c r="H445" s="99">
        <v>61470</v>
      </c>
      <c r="I445" s="100">
        <v>5</v>
      </c>
    </row>
    <row r="446" spans="1:9" ht="13.5" x14ac:dyDescent="0.25">
      <c r="A446" s="94" t="s">
        <v>705</v>
      </c>
      <c r="B446" s="95" t="s">
        <v>271</v>
      </c>
      <c r="C446" s="94" t="s">
        <v>705</v>
      </c>
      <c r="D446" s="94" t="s">
        <v>261</v>
      </c>
      <c r="E446" s="96">
        <v>32192</v>
      </c>
      <c r="F446" s="97">
        <f t="shared" ca="1" si="16"/>
        <v>28</v>
      </c>
      <c r="G446" s="98" t="s">
        <v>262</v>
      </c>
      <c r="H446" s="99">
        <v>35045</v>
      </c>
      <c r="I446" s="100">
        <v>4</v>
      </c>
    </row>
    <row r="447" spans="1:9" ht="13.5" x14ac:dyDescent="0.25">
      <c r="A447" s="94" t="s">
        <v>705</v>
      </c>
      <c r="B447" s="95" t="s">
        <v>271</v>
      </c>
      <c r="C447" s="94" t="s">
        <v>705</v>
      </c>
      <c r="D447" s="94" t="s">
        <v>256</v>
      </c>
      <c r="E447" s="96">
        <v>32268</v>
      </c>
      <c r="F447" s="97">
        <f t="shared" ca="1" si="16"/>
        <v>28</v>
      </c>
      <c r="G447" s="98" t="s">
        <v>257</v>
      </c>
      <c r="H447" s="99">
        <v>43580</v>
      </c>
      <c r="I447" s="100">
        <v>5</v>
      </c>
    </row>
    <row r="448" spans="1:9" ht="13.5" x14ac:dyDescent="0.25">
      <c r="A448" s="94" t="s">
        <v>705</v>
      </c>
      <c r="B448" s="95" t="s">
        <v>245</v>
      </c>
      <c r="C448" s="94" t="s">
        <v>705</v>
      </c>
      <c r="D448" s="94" t="s">
        <v>256</v>
      </c>
      <c r="E448" s="96">
        <v>32310</v>
      </c>
      <c r="F448" s="97">
        <f t="shared" ca="1" si="16"/>
        <v>28</v>
      </c>
      <c r="G448" s="98" t="s">
        <v>283</v>
      </c>
      <c r="H448" s="99">
        <v>43190</v>
      </c>
      <c r="I448" s="100">
        <v>2</v>
      </c>
    </row>
    <row r="449" spans="1:9" ht="13.5" x14ac:dyDescent="0.25">
      <c r="A449" s="94" t="s">
        <v>705</v>
      </c>
      <c r="B449" s="95" t="s">
        <v>245</v>
      </c>
      <c r="C449" s="94" t="s">
        <v>705</v>
      </c>
      <c r="D449" s="94" t="s">
        <v>256</v>
      </c>
      <c r="E449" s="96">
        <v>32326</v>
      </c>
      <c r="F449" s="97">
        <f t="shared" ca="1" si="16"/>
        <v>28</v>
      </c>
      <c r="G449" s="98" t="s">
        <v>257</v>
      </c>
      <c r="H449" s="99">
        <v>26360</v>
      </c>
      <c r="I449" s="100">
        <v>1</v>
      </c>
    </row>
    <row r="450" spans="1:9" ht="13.5" x14ac:dyDescent="0.25">
      <c r="A450" s="94" t="s">
        <v>705</v>
      </c>
      <c r="B450" s="95" t="s">
        <v>285</v>
      </c>
      <c r="C450" s="94" t="s">
        <v>705</v>
      </c>
      <c r="D450" s="94" t="s">
        <v>256</v>
      </c>
      <c r="E450" s="96">
        <v>32332</v>
      </c>
      <c r="F450" s="97">
        <f t="shared" ca="1" si="16"/>
        <v>28</v>
      </c>
      <c r="G450" s="98" t="s">
        <v>257</v>
      </c>
      <c r="H450" s="99">
        <v>79770</v>
      </c>
      <c r="I450" s="100">
        <v>4</v>
      </c>
    </row>
    <row r="451" spans="1:9" ht="13.5" x14ac:dyDescent="0.25">
      <c r="A451" s="94" t="s">
        <v>705</v>
      </c>
      <c r="B451" s="95" t="s">
        <v>285</v>
      </c>
      <c r="C451" s="94" t="s">
        <v>705</v>
      </c>
      <c r="D451" s="94" t="s">
        <v>247</v>
      </c>
      <c r="E451" s="96">
        <v>32501</v>
      </c>
      <c r="F451" s="97">
        <f t="shared" ca="1" si="16"/>
        <v>27</v>
      </c>
      <c r="G451" s="98"/>
      <c r="H451" s="99">
        <v>32650</v>
      </c>
      <c r="I451" s="100">
        <v>1</v>
      </c>
    </row>
    <row r="452" spans="1:9" ht="13.5" x14ac:dyDescent="0.25">
      <c r="A452" s="94" t="s">
        <v>705</v>
      </c>
      <c r="B452" s="95" t="s">
        <v>285</v>
      </c>
      <c r="C452" s="94" t="s">
        <v>705</v>
      </c>
      <c r="D452" s="94" t="s">
        <v>256</v>
      </c>
      <c r="E452" s="96">
        <v>32568</v>
      </c>
      <c r="F452" s="97">
        <f t="shared" ca="1" si="16"/>
        <v>27</v>
      </c>
      <c r="G452" s="98" t="s">
        <v>276</v>
      </c>
      <c r="H452" s="99">
        <v>75370</v>
      </c>
      <c r="I452" s="100">
        <v>2</v>
      </c>
    </row>
    <row r="453" spans="1:9" ht="13.5" x14ac:dyDescent="0.25">
      <c r="A453" s="94" t="s">
        <v>705</v>
      </c>
      <c r="B453" s="95" t="s">
        <v>271</v>
      </c>
      <c r="C453" s="94" t="s">
        <v>705</v>
      </c>
      <c r="D453" s="94" t="s">
        <v>256</v>
      </c>
      <c r="E453" s="96">
        <v>32571</v>
      </c>
      <c r="F453" s="97">
        <f t="shared" ca="1" si="16"/>
        <v>27</v>
      </c>
      <c r="G453" s="98" t="s">
        <v>276</v>
      </c>
      <c r="H453" s="99">
        <v>46910</v>
      </c>
      <c r="I453" s="100">
        <v>3</v>
      </c>
    </row>
    <row r="454" spans="1:9" ht="13.5" x14ac:dyDescent="0.25">
      <c r="A454" s="94" t="s">
        <v>705</v>
      </c>
      <c r="B454" s="95" t="s">
        <v>285</v>
      </c>
      <c r="C454" s="94" t="s">
        <v>705</v>
      </c>
      <c r="D454" s="94" t="s">
        <v>256</v>
      </c>
      <c r="E454" s="96">
        <v>32618</v>
      </c>
      <c r="F454" s="97">
        <f t="shared" ca="1" si="16"/>
        <v>27</v>
      </c>
      <c r="G454" s="98" t="s">
        <v>262</v>
      </c>
      <c r="H454" s="99">
        <v>68010</v>
      </c>
      <c r="I454" s="100">
        <v>1</v>
      </c>
    </row>
    <row r="455" spans="1:9" ht="13.5" x14ac:dyDescent="0.25">
      <c r="A455" s="94" t="s">
        <v>705</v>
      </c>
      <c r="B455" s="95" t="s">
        <v>271</v>
      </c>
      <c r="C455" s="94" t="s">
        <v>705</v>
      </c>
      <c r="D455" s="94" t="s">
        <v>256</v>
      </c>
      <c r="E455" s="96">
        <v>32801</v>
      </c>
      <c r="F455" s="97">
        <f t="shared" ca="1" si="16"/>
        <v>27</v>
      </c>
      <c r="G455" s="98" t="s">
        <v>283</v>
      </c>
      <c r="H455" s="99">
        <v>73030</v>
      </c>
      <c r="I455" s="100">
        <v>5</v>
      </c>
    </row>
    <row r="456" spans="1:9" ht="13.5" x14ac:dyDescent="0.25">
      <c r="A456" s="94" t="s">
        <v>705</v>
      </c>
      <c r="B456" s="95" t="s">
        <v>251</v>
      </c>
      <c r="C456" s="94" t="s">
        <v>705</v>
      </c>
      <c r="D456" s="94" t="s">
        <v>247</v>
      </c>
      <c r="E456" s="96">
        <v>33192</v>
      </c>
      <c r="F456" s="97">
        <f t="shared" ca="1" si="16"/>
        <v>25</v>
      </c>
      <c r="G456" s="98"/>
      <c r="H456" s="99">
        <v>66710</v>
      </c>
      <c r="I456" s="100">
        <v>2</v>
      </c>
    </row>
    <row r="457" spans="1:9" ht="13.5" x14ac:dyDescent="0.25">
      <c r="A457" s="94" t="s">
        <v>705</v>
      </c>
      <c r="B457" s="95" t="s">
        <v>251</v>
      </c>
      <c r="C457" s="94" t="s">
        <v>705</v>
      </c>
      <c r="D457" s="94" t="s">
        <v>261</v>
      </c>
      <c r="E457" s="96">
        <v>33307</v>
      </c>
      <c r="F457" s="97">
        <f t="shared" ca="1" si="16"/>
        <v>25</v>
      </c>
      <c r="G457" s="98" t="s">
        <v>257</v>
      </c>
      <c r="H457" s="99">
        <v>13435</v>
      </c>
      <c r="I457" s="100">
        <v>1</v>
      </c>
    </row>
    <row r="458" spans="1:9" ht="13.5" x14ac:dyDescent="0.25">
      <c r="A458" s="94" t="s">
        <v>705</v>
      </c>
      <c r="B458" s="95" t="s">
        <v>280</v>
      </c>
      <c r="C458" s="94" t="s">
        <v>705</v>
      </c>
      <c r="D458" s="94" t="s">
        <v>256</v>
      </c>
      <c r="E458" s="96">
        <v>33392</v>
      </c>
      <c r="F458" s="97">
        <f t="shared" ca="1" si="16"/>
        <v>25</v>
      </c>
      <c r="G458" s="98" t="s">
        <v>257</v>
      </c>
      <c r="H458" s="99">
        <v>87030</v>
      </c>
      <c r="I458" s="100">
        <v>3</v>
      </c>
    </row>
    <row r="459" spans="1:9" ht="13.5" x14ac:dyDescent="0.25">
      <c r="A459" s="94" t="s">
        <v>705</v>
      </c>
      <c r="B459" s="95" t="s">
        <v>285</v>
      </c>
      <c r="C459" s="94" t="s">
        <v>705</v>
      </c>
      <c r="D459" s="94" t="s">
        <v>256</v>
      </c>
      <c r="E459" s="96">
        <v>33427</v>
      </c>
      <c r="F459" s="97">
        <f t="shared" ca="1" si="16"/>
        <v>25</v>
      </c>
      <c r="G459" s="98" t="s">
        <v>257</v>
      </c>
      <c r="H459" s="99">
        <v>88850</v>
      </c>
      <c r="I459" s="100">
        <v>3</v>
      </c>
    </row>
    <row r="460" spans="1:9" ht="13.5" x14ac:dyDescent="0.25">
      <c r="A460" s="94" t="s">
        <v>705</v>
      </c>
      <c r="B460" s="95" t="s">
        <v>266</v>
      </c>
      <c r="C460" s="94" t="s">
        <v>705</v>
      </c>
      <c r="D460" s="94" t="s">
        <v>256</v>
      </c>
      <c r="E460" s="96">
        <v>33430</v>
      </c>
      <c r="F460" s="97">
        <f t="shared" ca="1" si="16"/>
        <v>25</v>
      </c>
      <c r="G460" s="98" t="s">
        <v>267</v>
      </c>
      <c r="H460" s="99">
        <v>77840</v>
      </c>
      <c r="I460" s="100">
        <v>2</v>
      </c>
    </row>
    <row r="461" spans="1:9" ht="13.5" x14ac:dyDescent="0.25">
      <c r="A461" s="94" t="s">
        <v>705</v>
      </c>
      <c r="B461" s="95" t="s">
        <v>271</v>
      </c>
      <c r="C461" s="94" t="s">
        <v>705</v>
      </c>
      <c r="D461" s="94" t="s">
        <v>256</v>
      </c>
      <c r="E461" s="96">
        <v>33591</v>
      </c>
      <c r="F461" s="97">
        <f t="shared" ca="1" si="16"/>
        <v>24</v>
      </c>
      <c r="G461" s="98" t="s">
        <v>257</v>
      </c>
      <c r="H461" s="99">
        <v>25830</v>
      </c>
      <c r="I461" s="100">
        <v>5</v>
      </c>
    </row>
    <row r="462" spans="1:9" ht="13.5" x14ac:dyDescent="0.25">
      <c r="A462" s="94" t="s">
        <v>705</v>
      </c>
      <c r="B462" s="95" t="s">
        <v>280</v>
      </c>
      <c r="C462" s="94" t="s">
        <v>705</v>
      </c>
      <c r="D462" s="94" t="s">
        <v>256</v>
      </c>
      <c r="E462" s="96">
        <v>33823</v>
      </c>
      <c r="F462" s="97">
        <f t="shared" ca="1" si="16"/>
        <v>24</v>
      </c>
      <c r="G462" s="98" t="s">
        <v>283</v>
      </c>
      <c r="H462" s="99">
        <v>63080</v>
      </c>
      <c r="I462" s="100">
        <v>5</v>
      </c>
    </row>
    <row r="463" spans="1:9" ht="13.5" x14ac:dyDescent="0.25">
      <c r="A463" s="94" t="s">
        <v>705</v>
      </c>
      <c r="B463" s="95" t="s">
        <v>245</v>
      </c>
      <c r="C463" s="94" t="s">
        <v>705</v>
      </c>
      <c r="D463" s="94" t="s">
        <v>256</v>
      </c>
      <c r="E463" s="96">
        <v>34029</v>
      </c>
      <c r="F463" s="97">
        <f t="shared" ca="1" si="16"/>
        <v>23</v>
      </c>
      <c r="G463" s="98" t="s">
        <v>283</v>
      </c>
      <c r="H463" s="99">
        <v>43410</v>
      </c>
      <c r="I463" s="100">
        <v>1</v>
      </c>
    </row>
    <row r="464" spans="1:9" ht="13.5" x14ac:dyDescent="0.25">
      <c r="A464" s="94" t="s">
        <v>705</v>
      </c>
      <c r="B464" s="95" t="s">
        <v>285</v>
      </c>
      <c r="C464" s="94" t="s">
        <v>705</v>
      </c>
      <c r="D464" s="94" t="s">
        <v>256</v>
      </c>
      <c r="E464" s="96">
        <v>34069</v>
      </c>
      <c r="F464" s="97">
        <f t="shared" ca="1" si="16"/>
        <v>23</v>
      </c>
      <c r="G464" s="98" t="s">
        <v>276</v>
      </c>
      <c r="H464" s="99">
        <v>67230</v>
      </c>
      <c r="I464" s="100">
        <v>4</v>
      </c>
    </row>
    <row r="465" spans="1:9" ht="13.5" x14ac:dyDescent="0.25">
      <c r="A465" s="94" t="s">
        <v>705</v>
      </c>
      <c r="B465" s="95" t="s">
        <v>271</v>
      </c>
      <c r="C465" s="94" t="s">
        <v>705</v>
      </c>
      <c r="D465" s="94" t="s">
        <v>256</v>
      </c>
      <c r="E465" s="96">
        <v>34102</v>
      </c>
      <c r="F465" s="97">
        <f t="shared" ca="1" si="16"/>
        <v>23</v>
      </c>
      <c r="G465" s="98" t="s">
        <v>262</v>
      </c>
      <c r="H465" s="99">
        <v>77950</v>
      </c>
      <c r="I465" s="100">
        <v>4</v>
      </c>
    </row>
    <row r="466" spans="1:9" ht="13.5" x14ac:dyDescent="0.25">
      <c r="A466" s="94" t="s">
        <v>705</v>
      </c>
      <c r="B466" s="95" t="s">
        <v>285</v>
      </c>
      <c r="C466" s="94" t="s">
        <v>705</v>
      </c>
      <c r="D466" s="94" t="s">
        <v>256</v>
      </c>
      <c r="E466" s="96">
        <v>34593</v>
      </c>
      <c r="F466" s="97">
        <f t="shared" ca="1" si="16"/>
        <v>22</v>
      </c>
      <c r="G466" s="98" t="s">
        <v>257</v>
      </c>
      <c r="H466" s="99">
        <v>68520</v>
      </c>
      <c r="I466" s="100">
        <v>5</v>
      </c>
    </row>
    <row r="467" spans="1:9" ht="13.5" x14ac:dyDescent="0.25">
      <c r="A467" s="94" t="s">
        <v>705</v>
      </c>
      <c r="B467" s="95" t="s">
        <v>280</v>
      </c>
      <c r="C467" s="94" t="s">
        <v>705</v>
      </c>
      <c r="D467" s="94" t="s">
        <v>247</v>
      </c>
      <c r="E467" s="96">
        <v>34611</v>
      </c>
      <c r="F467" s="97">
        <f t="shared" ca="1" si="16"/>
        <v>22</v>
      </c>
      <c r="G467" s="98"/>
      <c r="H467" s="99">
        <v>63330</v>
      </c>
      <c r="I467" s="100">
        <v>4</v>
      </c>
    </row>
    <row r="468" spans="1:9" ht="13.5" x14ac:dyDescent="0.25">
      <c r="A468" s="94" t="s">
        <v>705</v>
      </c>
      <c r="B468" s="95" t="s">
        <v>271</v>
      </c>
      <c r="C468" s="94" t="s">
        <v>705</v>
      </c>
      <c r="D468" s="94" t="s">
        <v>256</v>
      </c>
      <c r="E468" s="96">
        <v>34659</v>
      </c>
      <c r="F468" s="97">
        <f t="shared" ca="1" si="16"/>
        <v>21</v>
      </c>
      <c r="G468" s="98" t="s">
        <v>257</v>
      </c>
      <c r="H468" s="99">
        <v>74530</v>
      </c>
      <c r="I468" s="100">
        <v>5</v>
      </c>
    </row>
    <row r="469" spans="1:9" ht="13.5" x14ac:dyDescent="0.25">
      <c r="A469" s="94" t="s">
        <v>705</v>
      </c>
      <c r="B469" s="95" t="s">
        <v>271</v>
      </c>
      <c r="C469" s="94" t="s">
        <v>705</v>
      </c>
      <c r="D469" s="94" t="s">
        <v>252</v>
      </c>
      <c r="E469" s="96">
        <v>35019</v>
      </c>
      <c r="F469" s="97">
        <f t="shared" ca="1" si="16"/>
        <v>20</v>
      </c>
      <c r="G469" s="98"/>
      <c r="H469" s="99">
        <v>39764</v>
      </c>
      <c r="I469" s="100">
        <v>1</v>
      </c>
    </row>
    <row r="470" spans="1:9" ht="13.5" x14ac:dyDescent="0.25">
      <c r="A470" s="94" t="s">
        <v>705</v>
      </c>
      <c r="B470" s="95" t="s">
        <v>271</v>
      </c>
      <c r="C470" s="94" t="s">
        <v>705</v>
      </c>
      <c r="D470" s="94" t="s">
        <v>247</v>
      </c>
      <c r="E470" s="96">
        <v>35313</v>
      </c>
      <c r="F470" s="97">
        <f t="shared" ca="1" si="16"/>
        <v>20</v>
      </c>
      <c r="G470" s="98"/>
      <c r="H470" s="99">
        <v>30300</v>
      </c>
      <c r="I470" s="100">
        <v>1</v>
      </c>
    </row>
    <row r="471" spans="1:9" ht="13.5" x14ac:dyDescent="0.25">
      <c r="A471" s="94" t="s">
        <v>705</v>
      </c>
      <c r="B471" s="95" t="s">
        <v>285</v>
      </c>
      <c r="C471" s="94" t="s">
        <v>705</v>
      </c>
      <c r="D471" s="94" t="s">
        <v>261</v>
      </c>
      <c r="E471" s="96">
        <v>35385</v>
      </c>
      <c r="F471" s="97">
        <f t="shared" ca="1" si="16"/>
        <v>19</v>
      </c>
      <c r="G471" s="98" t="s">
        <v>283</v>
      </c>
      <c r="H471" s="99">
        <v>29005</v>
      </c>
      <c r="I471" s="100">
        <v>1</v>
      </c>
    </row>
    <row r="472" spans="1:9" ht="13.5" x14ac:dyDescent="0.25">
      <c r="A472" s="94" t="s">
        <v>705</v>
      </c>
      <c r="B472" s="95" t="s">
        <v>245</v>
      </c>
      <c r="C472" s="94" t="s">
        <v>705</v>
      </c>
      <c r="D472" s="94" t="s">
        <v>261</v>
      </c>
      <c r="E472" s="96">
        <v>36160</v>
      </c>
      <c r="F472" s="97">
        <f t="shared" ca="1" si="16"/>
        <v>17</v>
      </c>
      <c r="G472" s="98" t="s">
        <v>257</v>
      </c>
      <c r="H472" s="99">
        <v>33810</v>
      </c>
      <c r="I472" s="100">
        <v>5</v>
      </c>
    </row>
    <row r="473" spans="1:9" ht="13.5" x14ac:dyDescent="0.25">
      <c r="A473" s="94" t="s">
        <v>705</v>
      </c>
      <c r="B473" s="95" t="s">
        <v>271</v>
      </c>
      <c r="C473" s="94" t="s">
        <v>705</v>
      </c>
      <c r="D473" s="94" t="s">
        <v>252</v>
      </c>
      <c r="E473" s="96">
        <v>36401</v>
      </c>
      <c r="F473" s="97">
        <f t="shared" ca="1" si="16"/>
        <v>17</v>
      </c>
      <c r="G473" s="98"/>
      <c r="H473" s="99">
        <v>21648</v>
      </c>
      <c r="I473" s="100">
        <v>2</v>
      </c>
    </row>
    <row r="474" spans="1:9" ht="13.5" x14ac:dyDescent="0.25">
      <c r="A474" s="94" t="s">
        <v>705</v>
      </c>
      <c r="B474" s="95" t="s">
        <v>285</v>
      </c>
      <c r="C474" s="94" t="s">
        <v>705</v>
      </c>
      <c r="D474" s="94" t="s">
        <v>252</v>
      </c>
      <c r="E474" s="96">
        <v>36834</v>
      </c>
      <c r="F474" s="97">
        <f t="shared" ca="1" si="16"/>
        <v>16</v>
      </c>
      <c r="G474" s="98"/>
      <c r="H474" s="99">
        <v>33512</v>
      </c>
      <c r="I474" s="100">
        <v>4</v>
      </c>
    </row>
    <row r="475" spans="1:9" ht="13.5" x14ac:dyDescent="0.25">
      <c r="A475" s="94" t="s">
        <v>705</v>
      </c>
      <c r="B475" s="95" t="s">
        <v>271</v>
      </c>
      <c r="C475" s="94" t="s">
        <v>705</v>
      </c>
      <c r="D475" s="94" t="s">
        <v>256</v>
      </c>
      <c r="E475" s="96">
        <v>36917</v>
      </c>
      <c r="F475" s="97">
        <f t="shared" ca="1" si="16"/>
        <v>15</v>
      </c>
      <c r="G475" s="98" t="s">
        <v>283</v>
      </c>
      <c r="H475" s="99">
        <v>86200</v>
      </c>
      <c r="I475" s="100">
        <v>3</v>
      </c>
    </row>
    <row r="476" spans="1:9" ht="13.5" x14ac:dyDescent="0.25">
      <c r="A476" s="94" t="s">
        <v>705</v>
      </c>
      <c r="B476" s="95" t="s">
        <v>285</v>
      </c>
      <c r="C476" s="94" t="s">
        <v>705</v>
      </c>
      <c r="D476" s="94" t="s">
        <v>256</v>
      </c>
      <c r="E476" s="96">
        <v>37497</v>
      </c>
      <c r="F476" s="97">
        <f t="shared" ca="1" si="16"/>
        <v>14</v>
      </c>
      <c r="G476" s="98" t="s">
        <v>257</v>
      </c>
      <c r="H476" s="99">
        <v>47060</v>
      </c>
      <c r="I476" s="100">
        <v>4</v>
      </c>
    </row>
    <row r="477" spans="1:9" ht="13.5" x14ac:dyDescent="0.25">
      <c r="A477" s="94" t="s">
        <v>705</v>
      </c>
      <c r="B477" s="95" t="s">
        <v>285</v>
      </c>
      <c r="C477" s="94" t="s">
        <v>705</v>
      </c>
      <c r="D477" s="94" t="s">
        <v>256</v>
      </c>
      <c r="E477" s="96">
        <v>37606</v>
      </c>
      <c r="F477" s="97">
        <f t="shared" ca="1" si="16"/>
        <v>13</v>
      </c>
      <c r="G477" s="98" t="s">
        <v>262</v>
      </c>
      <c r="H477" s="99">
        <v>27560</v>
      </c>
      <c r="I477" s="100">
        <v>2</v>
      </c>
    </row>
    <row r="478" spans="1:9" ht="13.5" x14ac:dyDescent="0.25">
      <c r="A478" s="94" t="s">
        <v>705</v>
      </c>
      <c r="B478" s="95" t="s">
        <v>251</v>
      </c>
      <c r="C478" s="94" t="s">
        <v>705</v>
      </c>
      <c r="D478" s="94" t="s">
        <v>261</v>
      </c>
      <c r="E478" s="96">
        <v>37989</v>
      </c>
      <c r="F478" s="97">
        <f t="shared" ca="1" si="16"/>
        <v>12</v>
      </c>
      <c r="G478" s="98" t="s">
        <v>276</v>
      </c>
      <c r="H478" s="99">
        <v>47760</v>
      </c>
      <c r="I478" s="100">
        <v>3</v>
      </c>
    </row>
    <row r="479" spans="1:9" ht="13.5" x14ac:dyDescent="0.25">
      <c r="A479" s="94" t="s">
        <v>705</v>
      </c>
      <c r="B479" s="95" t="s">
        <v>285</v>
      </c>
      <c r="C479" s="94" t="s">
        <v>705</v>
      </c>
      <c r="D479" s="94" t="s">
        <v>256</v>
      </c>
      <c r="E479" s="96">
        <v>38094</v>
      </c>
      <c r="F479" s="97">
        <f t="shared" ca="1" si="16"/>
        <v>12</v>
      </c>
      <c r="G479" s="98" t="s">
        <v>267</v>
      </c>
      <c r="H479" s="99">
        <v>50990</v>
      </c>
      <c r="I479" s="100">
        <v>4</v>
      </c>
    </row>
    <row r="480" spans="1:9" ht="13.5" x14ac:dyDescent="0.25">
      <c r="A480" s="94" t="s">
        <v>705</v>
      </c>
      <c r="B480" s="95" t="s">
        <v>245</v>
      </c>
      <c r="C480" s="94" t="s">
        <v>705</v>
      </c>
      <c r="D480" s="94" t="s">
        <v>256</v>
      </c>
      <c r="E480" s="96">
        <v>38347</v>
      </c>
      <c r="F480" s="97">
        <f t="shared" ca="1" si="16"/>
        <v>11</v>
      </c>
      <c r="G480" s="98" t="s">
        <v>276</v>
      </c>
      <c r="H480" s="99">
        <v>80880</v>
      </c>
      <c r="I480" s="100">
        <v>1</v>
      </c>
    </row>
    <row r="481" spans="1:9" ht="13.5" x14ac:dyDescent="0.25">
      <c r="A481" s="94" t="s">
        <v>705</v>
      </c>
      <c r="B481" s="95" t="s">
        <v>266</v>
      </c>
      <c r="C481" s="94" t="s">
        <v>705</v>
      </c>
      <c r="D481" s="94" t="s">
        <v>256</v>
      </c>
      <c r="E481" s="96">
        <v>38368</v>
      </c>
      <c r="F481" s="97">
        <f t="shared" ca="1" si="16"/>
        <v>11</v>
      </c>
      <c r="G481" s="98" t="s">
        <v>283</v>
      </c>
      <c r="H481" s="99">
        <v>80090</v>
      </c>
      <c r="I481" s="100">
        <v>2</v>
      </c>
    </row>
    <row r="482" spans="1:9" ht="13.5" x14ac:dyDescent="0.25">
      <c r="A482" s="94" t="s">
        <v>705</v>
      </c>
      <c r="B482" s="95" t="s">
        <v>280</v>
      </c>
      <c r="C482" s="94" t="s">
        <v>705</v>
      </c>
      <c r="D482" s="94" t="s">
        <v>247</v>
      </c>
      <c r="E482" s="96">
        <v>38473</v>
      </c>
      <c r="F482" s="97">
        <f t="shared" ca="1" si="16"/>
        <v>11</v>
      </c>
      <c r="G482" s="98"/>
      <c r="H482" s="99">
        <v>54000</v>
      </c>
      <c r="I482" s="100">
        <v>3</v>
      </c>
    </row>
    <row r="483" spans="1:9" ht="13.5" x14ac:dyDescent="0.25">
      <c r="A483" s="94" t="s">
        <v>705</v>
      </c>
      <c r="B483" s="95" t="s">
        <v>251</v>
      </c>
      <c r="C483" s="94" t="s">
        <v>705</v>
      </c>
      <c r="D483" s="94" t="s">
        <v>256</v>
      </c>
      <c r="E483" s="96">
        <v>39060</v>
      </c>
      <c r="F483" s="97">
        <f t="shared" ca="1" si="16"/>
        <v>9</v>
      </c>
      <c r="G483" s="98" t="s">
        <v>257</v>
      </c>
      <c r="H483" s="99">
        <v>66840</v>
      </c>
      <c r="I483" s="100">
        <v>4</v>
      </c>
    </row>
    <row r="484" spans="1:9" ht="13.5" x14ac:dyDescent="0.25">
      <c r="A484" s="94" t="s">
        <v>705</v>
      </c>
      <c r="B484" s="95" t="s">
        <v>266</v>
      </c>
      <c r="C484" s="94" t="s">
        <v>705</v>
      </c>
      <c r="D484" s="94" t="s">
        <v>261</v>
      </c>
      <c r="E484" s="102">
        <v>39083</v>
      </c>
      <c r="F484" s="97">
        <f t="shared" ca="1" si="16"/>
        <v>9</v>
      </c>
      <c r="G484" s="98" t="s">
        <v>257</v>
      </c>
      <c r="H484" s="99">
        <v>16925</v>
      </c>
      <c r="I484" s="100">
        <v>1</v>
      </c>
    </row>
    <row r="485" spans="1:9" ht="13.5" x14ac:dyDescent="0.25">
      <c r="A485" s="94" t="s">
        <v>705</v>
      </c>
      <c r="B485" s="95" t="s">
        <v>245</v>
      </c>
      <c r="C485" s="94" t="s">
        <v>705</v>
      </c>
      <c r="D485" s="94" t="s">
        <v>252</v>
      </c>
      <c r="E485" s="102">
        <v>39093</v>
      </c>
      <c r="F485" s="97">
        <f t="shared" ca="1" si="16"/>
        <v>9</v>
      </c>
      <c r="G485" s="98"/>
      <c r="H485" s="99">
        <v>15056</v>
      </c>
      <c r="I485" s="100">
        <v>5</v>
      </c>
    </row>
    <row r="486" spans="1:9" ht="13.5" x14ac:dyDescent="0.25">
      <c r="A486" s="94" t="s">
        <v>705</v>
      </c>
      <c r="B486" s="95" t="s">
        <v>271</v>
      </c>
      <c r="C486" s="94" t="s">
        <v>705</v>
      </c>
      <c r="D486" s="94" t="s">
        <v>252</v>
      </c>
      <c r="E486" s="102">
        <v>39142</v>
      </c>
      <c r="F486" s="97">
        <f t="shared" ca="1" si="16"/>
        <v>9</v>
      </c>
      <c r="G486" s="98"/>
      <c r="H486" s="99">
        <v>9180</v>
      </c>
      <c r="I486" s="100">
        <v>3</v>
      </c>
    </row>
    <row r="487" spans="1:9" ht="13.5" x14ac:dyDescent="0.25">
      <c r="A487" s="94" t="s">
        <v>705</v>
      </c>
      <c r="B487" s="95" t="s">
        <v>251</v>
      </c>
      <c r="C487" s="94" t="s">
        <v>705</v>
      </c>
      <c r="D487" s="94" t="s">
        <v>247</v>
      </c>
      <c r="E487" s="96">
        <v>39158</v>
      </c>
      <c r="F487" s="97">
        <f t="shared" ca="1" si="16"/>
        <v>9</v>
      </c>
      <c r="G487" s="98"/>
      <c r="H487" s="99">
        <v>39440</v>
      </c>
      <c r="I487" s="100">
        <v>4</v>
      </c>
    </row>
    <row r="488" spans="1:9" ht="13.5" x14ac:dyDescent="0.25">
      <c r="A488" s="94" t="s">
        <v>705</v>
      </c>
      <c r="B488" s="95" t="s">
        <v>251</v>
      </c>
      <c r="C488" s="94" t="s">
        <v>705</v>
      </c>
      <c r="D488" s="94" t="s">
        <v>247</v>
      </c>
      <c r="E488" s="102">
        <v>39310</v>
      </c>
      <c r="F488" s="97">
        <f t="shared" ca="1" si="16"/>
        <v>9</v>
      </c>
      <c r="G488" s="98"/>
      <c r="H488" s="99">
        <v>84300</v>
      </c>
      <c r="I488" s="100">
        <v>1</v>
      </c>
    </row>
    <row r="489" spans="1:9" ht="13.5" x14ac:dyDescent="0.25">
      <c r="A489" s="101" t="s">
        <v>1052</v>
      </c>
      <c r="B489" s="95"/>
      <c r="C489" s="101"/>
      <c r="D489" s="94"/>
      <c r="E489" s="102"/>
      <c r="F489" s="97"/>
      <c r="G489" s="98"/>
      <c r="H489" s="99"/>
      <c r="I489" s="100"/>
    </row>
    <row r="490" spans="1:9" ht="13.5" x14ac:dyDescent="0.25">
      <c r="A490" s="94" t="s">
        <v>750</v>
      </c>
      <c r="B490" s="95" t="s">
        <v>285</v>
      </c>
      <c r="C490" s="94" t="s">
        <v>750</v>
      </c>
      <c r="D490" s="94" t="s">
        <v>261</v>
      </c>
      <c r="E490" s="96">
        <v>31802</v>
      </c>
      <c r="F490" s="97">
        <f t="shared" ref="F490:F505" ca="1" si="17">DATEDIF(E490,TODAY(),"Y")</f>
        <v>29</v>
      </c>
      <c r="G490" s="98" t="s">
        <v>267</v>
      </c>
      <c r="H490" s="99">
        <v>24815</v>
      </c>
      <c r="I490" s="100">
        <v>1</v>
      </c>
    </row>
    <row r="491" spans="1:9" ht="13.5" x14ac:dyDescent="0.25">
      <c r="A491" s="94" t="s">
        <v>750</v>
      </c>
      <c r="B491" s="95" t="s">
        <v>271</v>
      </c>
      <c r="C491" s="94" t="s">
        <v>750</v>
      </c>
      <c r="D491" s="94" t="s">
        <v>256</v>
      </c>
      <c r="E491" s="96">
        <v>31803</v>
      </c>
      <c r="F491" s="97">
        <f t="shared" ca="1" si="17"/>
        <v>29</v>
      </c>
      <c r="G491" s="98" t="s">
        <v>257</v>
      </c>
      <c r="H491" s="99">
        <v>32600</v>
      </c>
      <c r="I491" s="100">
        <v>5</v>
      </c>
    </row>
    <row r="492" spans="1:9" ht="13.5" x14ac:dyDescent="0.25">
      <c r="A492" s="94" t="s">
        <v>750</v>
      </c>
      <c r="B492" s="95" t="s">
        <v>285</v>
      </c>
      <c r="C492" s="94" t="s">
        <v>750</v>
      </c>
      <c r="D492" s="94" t="s">
        <v>252</v>
      </c>
      <c r="E492" s="96">
        <v>31848</v>
      </c>
      <c r="F492" s="97">
        <f t="shared" ca="1" si="17"/>
        <v>29</v>
      </c>
      <c r="G492" s="98"/>
      <c r="H492" s="99">
        <v>33232</v>
      </c>
      <c r="I492" s="100">
        <v>4</v>
      </c>
    </row>
    <row r="493" spans="1:9" ht="13.5" x14ac:dyDescent="0.25">
      <c r="A493" s="94" t="s">
        <v>750</v>
      </c>
      <c r="B493" s="95" t="s">
        <v>245</v>
      </c>
      <c r="C493" s="94" t="s">
        <v>750</v>
      </c>
      <c r="D493" s="94" t="s">
        <v>261</v>
      </c>
      <c r="E493" s="96">
        <v>31850</v>
      </c>
      <c r="F493" s="97">
        <f t="shared" ca="1" si="17"/>
        <v>29</v>
      </c>
      <c r="G493" s="98" t="s">
        <v>262</v>
      </c>
      <c r="H493" s="99">
        <v>39620</v>
      </c>
      <c r="I493" s="100">
        <v>5</v>
      </c>
    </row>
    <row r="494" spans="1:9" ht="13.5" x14ac:dyDescent="0.25">
      <c r="A494" s="94" t="s">
        <v>750</v>
      </c>
      <c r="B494" s="95" t="s">
        <v>266</v>
      </c>
      <c r="C494" s="94" t="s">
        <v>750</v>
      </c>
      <c r="D494" s="94" t="s">
        <v>256</v>
      </c>
      <c r="E494" s="96">
        <v>31869</v>
      </c>
      <c r="F494" s="97">
        <f t="shared" ca="1" si="17"/>
        <v>29</v>
      </c>
      <c r="G494" s="98" t="s">
        <v>283</v>
      </c>
      <c r="H494" s="99">
        <v>43110</v>
      </c>
      <c r="I494" s="100">
        <v>2</v>
      </c>
    </row>
    <row r="495" spans="1:9" ht="13.5" x14ac:dyDescent="0.25">
      <c r="A495" s="94" t="s">
        <v>750</v>
      </c>
      <c r="B495" s="95" t="s">
        <v>285</v>
      </c>
      <c r="C495" s="94" t="s">
        <v>750</v>
      </c>
      <c r="D495" s="94" t="s">
        <v>256</v>
      </c>
      <c r="E495" s="96">
        <v>31876</v>
      </c>
      <c r="F495" s="97">
        <f t="shared" ca="1" si="17"/>
        <v>29</v>
      </c>
      <c r="G495" s="98" t="s">
        <v>257</v>
      </c>
      <c r="H495" s="99">
        <v>40940</v>
      </c>
      <c r="I495" s="100">
        <v>3</v>
      </c>
    </row>
    <row r="496" spans="1:9" ht="13.5" x14ac:dyDescent="0.25">
      <c r="A496" s="94" t="s">
        <v>750</v>
      </c>
      <c r="B496" s="95" t="s">
        <v>285</v>
      </c>
      <c r="C496" s="94" t="s">
        <v>750</v>
      </c>
      <c r="D496" s="94" t="s">
        <v>256</v>
      </c>
      <c r="E496" s="96">
        <v>31936</v>
      </c>
      <c r="F496" s="97">
        <f t="shared" ca="1" si="17"/>
        <v>29</v>
      </c>
      <c r="G496" s="98" t="s">
        <v>257</v>
      </c>
      <c r="H496" s="99">
        <v>71730</v>
      </c>
      <c r="I496" s="100">
        <v>1</v>
      </c>
    </row>
    <row r="497" spans="1:9" ht="13.5" x14ac:dyDescent="0.25">
      <c r="A497" s="94" t="s">
        <v>750</v>
      </c>
      <c r="B497" s="95" t="s">
        <v>285</v>
      </c>
      <c r="C497" s="94" t="s">
        <v>750</v>
      </c>
      <c r="D497" s="94" t="s">
        <v>256</v>
      </c>
      <c r="E497" s="96">
        <v>31970</v>
      </c>
      <c r="F497" s="97">
        <f t="shared" ca="1" si="17"/>
        <v>29</v>
      </c>
      <c r="G497" s="98" t="s">
        <v>257</v>
      </c>
      <c r="H497" s="99">
        <v>87950</v>
      </c>
      <c r="I497" s="100">
        <v>4</v>
      </c>
    </row>
    <row r="498" spans="1:9" ht="13.5" x14ac:dyDescent="0.25">
      <c r="A498" s="94" t="s">
        <v>750</v>
      </c>
      <c r="B498" s="95" t="s">
        <v>251</v>
      </c>
      <c r="C498" s="94" t="s">
        <v>750</v>
      </c>
      <c r="D498" s="94" t="s">
        <v>247</v>
      </c>
      <c r="E498" s="96">
        <v>31976</v>
      </c>
      <c r="F498" s="97">
        <f t="shared" ca="1" si="17"/>
        <v>29</v>
      </c>
      <c r="G498" s="98"/>
      <c r="H498" s="99">
        <v>49070</v>
      </c>
      <c r="I498" s="100">
        <v>3</v>
      </c>
    </row>
    <row r="499" spans="1:9" ht="13.5" x14ac:dyDescent="0.25">
      <c r="A499" s="94" t="s">
        <v>750</v>
      </c>
      <c r="B499" s="95" t="s">
        <v>271</v>
      </c>
      <c r="C499" s="94" t="s">
        <v>750</v>
      </c>
      <c r="D499" s="94" t="s">
        <v>256</v>
      </c>
      <c r="E499" s="96">
        <v>32010</v>
      </c>
      <c r="F499" s="97">
        <f t="shared" ca="1" si="17"/>
        <v>29</v>
      </c>
      <c r="G499" s="98" t="s">
        <v>276</v>
      </c>
      <c r="H499" s="99">
        <v>35320</v>
      </c>
      <c r="I499" s="100">
        <v>3</v>
      </c>
    </row>
    <row r="500" spans="1:9" ht="13.5" x14ac:dyDescent="0.25">
      <c r="A500" s="94" t="s">
        <v>750</v>
      </c>
      <c r="B500" s="95" t="s">
        <v>285</v>
      </c>
      <c r="C500" s="94" t="s">
        <v>750</v>
      </c>
      <c r="D500" s="94" t="s">
        <v>261</v>
      </c>
      <c r="E500" s="96">
        <v>32039</v>
      </c>
      <c r="F500" s="97">
        <f t="shared" ca="1" si="17"/>
        <v>29</v>
      </c>
      <c r="G500" s="98" t="s">
        <v>276</v>
      </c>
      <c r="H500" s="99">
        <v>16015</v>
      </c>
      <c r="I500" s="100">
        <v>3</v>
      </c>
    </row>
    <row r="501" spans="1:9" ht="13.5" x14ac:dyDescent="0.25">
      <c r="A501" s="94" t="s">
        <v>750</v>
      </c>
      <c r="B501" s="95" t="s">
        <v>271</v>
      </c>
      <c r="C501" s="94" t="s">
        <v>750</v>
      </c>
      <c r="D501" s="94" t="s">
        <v>256</v>
      </c>
      <c r="E501" s="96">
        <v>32130</v>
      </c>
      <c r="F501" s="97">
        <f t="shared" ca="1" si="17"/>
        <v>28</v>
      </c>
      <c r="G501" s="98" t="s">
        <v>257</v>
      </c>
      <c r="H501" s="99">
        <v>69400</v>
      </c>
      <c r="I501" s="100">
        <v>5</v>
      </c>
    </row>
    <row r="502" spans="1:9" ht="13.5" x14ac:dyDescent="0.25">
      <c r="A502" s="94" t="s">
        <v>750</v>
      </c>
      <c r="B502" s="95" t="s">
        <v>271</v>
      </c>
      <c r="C502" s="94" t="s">
        <v>750</v>
      </c>
      <c r="D502" s="94" t="s">
        <v>256</v>
      </c>
      <c r="E502" s="96">
        <v>32150</v>
      </c>
      <c r="F502" s="97">
        <f t="shared" ca="1" si="17"/>
        <v>28</v>
      </c>
      <c r="G502" s="98" t="s">
        <v>283</v>
      </c>
      <c r="H502" s="99">
        <v>77720</v>
      </c>
      <c r="I502" s="100">
        <v>3</v>
      </c>
    </row>
    <row r="503" spans="1:9" ht="13.5" x14ac:dyDescent="0.25">
      <c r="A503" s="94" t="s">
        <v>750</v>
      </c>
      <c r="B503" s="95" t="s">
        <v>266</v>
      </c>
      <c r="C503" s="94" t="s">
        <v>750</v>
      </c>
      <c r="D503" s="94" t="s">
        <v>256</v>
      </c>
      <c r="E503" s="96">
        <v>32203</v>
      </c>
      <c r="F503" s="97">
        <f t="shared" ca="1" si="17"/>
        <v>28</v>
      </c>
      <c r="G503" s="98" t="s">
        <v>267</v>
      </c>
      <c r="H503" s="99">
        <v>44560</v>
      </c>
      <c r="I503" s="100">
        <v>2</v>
      </c>
    </row>
    <row r="504" spans="1:9" ht="13.5" x14ac:dyDescent="0.25">
      <c r="A504" s="94" t="s">
        <v>750</v>
      </c>
      <c r="B504" s="95" t="s">
        <v>271</v>
      </c>
      <c r="C504" s="94" t="s">
        <v>750</v>
      </c>
      <c r="D504" s="94" t="s">
        <v>256</v>
      </c>
      <c r="E504" s="96">
        <v>32226</v>
      </c>
      <c r="F504" s="97">
        <f t="shared" ca="1" si="17"/>
        <v>28</v>
      </c>
      <c r="G504" s="98" t="s">
        <v>257</v>
      </c>
      <c r="H504" s="99">
        <v>81530</v>
      </c>
      <c r="I504" s="100">
        <v>5</v>
      </c>
    </row>
    <row r="505" spans="1:9" ht="13.5" x14ac:dyDescent="0.25">
      <c r="A505" s="94" t="s">
        <v>750</v>
      </c>
      <c r="B505" s="95" t="s">
        <v>245</v>
      </c>
      <c r="C505" s="94" t="s">
        <v>750</v>
      </c>
      <c r="D505" s="94" t="s">
        <v>256</v>
      </c>
      <c r="E505" s="96">
        <v>32278</v>
      </c>
      <c r="F505" s="97">
        <f t="shared" ca="1" si="17"/>
        <v>28</v>
      </c>
      <c r="G505" s="98" t="s">
        <v>283</v>
      </c>
      <c r="H505" s="99">
        <v>44620</v>
      </c>
      <c r="I505" s="100">
        <v>5</v>
      </c>
    </row>
    <row r="506" spans="1:9" ht="13.5" x14ac:dyDescent="0.25">
      <c r="A506" s="101" t="s">
        <v>1053</v>
      </c>
      <c r="B506" s="95"/>
      <c r="C506" s="101"/>
      <c r="D506" s="94"/>
      <c r="E506" s="96"/>
      <c r="F506" s="97"/>
      <c r="G506" s="98"/>
      <c r="H506" s="99"/>
      <c r="I506" s="100"/>
    </row>
    <row r="507" spans="1:9" ht="13.5" x14ac:dyDescent="0.25">
      <c r="A507" s="94" t="s">
        <v>767</v>
      </c>
      <c r="B507" s="95" t="s">
        <v>271</v>
      </c>
      <c r="C507" s="94" t="s">
        <v>767</v>
      </c>
      <c r="D507" s="94" t="s">
        <v>256</v>
      </c>
      <c r="E507" s="96">
        <v>31788</v>
      </c>
      <c r="F507" s="97">
        <f t="shared" ref="F507:F570" ca="1" si="18">DATEDIF(E507,TODAY(),"Y")</f>
        <v>29</v>
      </c>
      <c r="G507" s="98" t="s">
        <v>257</v>
      </c>
      <c r="H507" s="99">
        <v>48080</v>
      </c>
      <c r="I507" s="100">
        <v>2</v>
      </c>
    </row>
    <row r="508" spans="1:9" ht="13.5" x14ac:dyDescent="0.25">
      <c r="A508" s="94" t="s">
        <v>767</v>
      </c>
      <c r="B508" s="95" t="s">
        <v>285</v>
      </c>
      <c r="C508" s="94" t="s">
        <v>767</v>
      </c>
      <c r="D508" s="94" t="s">
        <v>256</v>
      </c>
      <c r="E508" s="96">
        <v>31818</v>
      </c>
      <c r="F508" s="97">
        <f t="shared" ca="1" si="18"/>
        <v>29</v>
      </c>
      <c r="G508" s="98" t="s">
        <v>267</v>
      </c>
      <c r="H508" s="99">
        <v>46110</v>
      </c>
      <c r="I508" s="100">
        <v>4</v>
      </c>
    </row>
    <row r="509" spans="1:9" ht="13.5" x14ac:dyDescent="0.25">
      <c r="A509" s="94" t="s">
        <v>767</v>
      </c>
      <c r="B509" s="95" t="s">
        <v>245</v>
      </c>
      <c r="C509" s="94" t="s">
        <v>767</v>
      </c>
      <c r="D509" s="94" t="s">
        <v>247</v>
      </c>
      <c r="E509" s="96">
        <v>31857</v>
      </c>
      <c r="F509" s="97">
        <f t="shared" ca="1" si="18"/>
        <v>29</v>
      </c>
      <c r="G509" s="98"/>
      <c r="H509" s="99">
        <v>23020</v>
      </c>
      <c r="I509" s="100">
        <v>4</v>
      </c>
    </row>
    <row r="510" spans="1:9" ht="13.5" x14ac:dyDescent="0.25">
      <c r="A510" s="94" t="s">
        <v>767</v>
      </c>
      <c r="B510" s="95" t="s">
        <v>271</v>
      </c>
      <c r="C510" s="94" t="s">
        <v>767</v>
      </c>
      <c r="D510" s="94" t="s">
        <v>247</v>
      </c>
      <c r="E510" s="96">
        <v>31924</v>
      </c>
      <c r="F510" s="97">
        <f t="shared" ca="1" si="18"/>
        <v>29</v>
      </c>
      <c r="G510" s="98"/>
      <c r="H510" s="99">
        <v>58650</v>
      </c>
      <c r="I510" s="100">
        <v>4</v>
      </c>
    </row>
    <row r="511" spans="1:9" ht="13.5" x14ac:dyDescent="0.25">
      <c r="A511" s="94" t="s">
        <v>767</v>
      </c>
      <c r="B511" s="95" t="s">
        <v>271</v>
      </c>
      <c r="C511" s="94" t="s">
        <v>767</v>
      </c>
      <c r="D511" s="94" t="s">
        <v>256</v>
      </c>
      <c r="E511" s="96">
        <v>32051</v>
      </c>
      <c r="F511" s="97">
        <f t="shared" ca="1" si="18"/>
        <v>29</v>
      </c>
      <c r="G511" s="98" t="s">
        <v>257</v>
      </c>
      <c r="H511" s="99">
        <v>24090</v>
      </c>
      <c r="I511" s="100">
        <v>4</v>
      </c>
    </row>
    <row r="512" spans="1:9" ht="13.5" x14ac:dyDescent="0.25">
      <c r="A512" s="94" t="s">
        <v>767</v>
      </c>
      <c r="B512" s="95" t="s">
        <v>271</v>
      </c>
      <c r="C512" s="94" t="s">
        <v>767</v>
      </c>
      <c r="D512" s="94" t="s">
        <v>247</v>
      </c>
      <c r="E512" s="96">
        <v>32092</v>
      </c>
      <c r="F512" s="97">
        <f t="shared" ca="1" si="18"/>
        <v>28</v>
      </c>
      <c r="G512" s="98"/>
      <c r="H512" s="99">
        <v>79380</v>
      </c>
      <c r="I512" s="100">
        <v>1</v>
      </c>
    </row>
    <row r="513" spans="1:9" ht="13.5" x14ac:dyDescent="0.25">
      <c r="A513" s="94" t="s">
        <v>767</v>
      </c>
      <c r="B513" s="95" t="s">
        <v>271</v>
      </c>
      <c r="C513" s="94" t="s">
        <v>767</v>
      </c>
      <c r="D513" s="94" t="s">
        <v>256</v>
      </c>
      <c r="E513" s="96">
        <v>32150</v>
      </c>
      <c r="F513" s="97">
        <f t="shared" ca="1" si="18"/>
        <v>28</v>
      </c>
      <c r="G513" s="98" t="s">
        <v>267</v>
      </c>
      <c r="H513" s="99">
        <v>77740</v>
      </c>
      <c r="I513" s="100">
        <v>1</v>
      </c>
    </row>
    <row r="514" spans="1:9" ht="13.5" x14ac:dyDescent="0.25">
      <c r="A514" s="94" t="s">
        <v>767</v>
      </c>
      <c r="B514" s="95" t="s">
        <v>271</v>
      </c>
      <c r="C514" s="94" t="s">
        <v>767</v>
      </c>
      <c r="D514" s="94" t="s">
        <v>256</v>
      </c>
      <c r="E514" s="96">
        <v>32200</v>
      </c>
      <c r="F514" s="97">
        <f t="shared" ca="1" si="18"/>
        <v>28</v>
      </c>
      <c r="G514" s="98" t="s">
        <v>262</v>
      </c>
      <c r="H514" s="99">
        <v>54500</v>
      </c>
      <c r="I514" s="100">
        <v>5</v>
      </c>
    </row>
    <row r="515" spans="1:9" ht="13.5" x14ac:dyDescent="0.25">
      <c r="A515" s="94" t="s">
        <v>767</v>
      </c>
      <c r="B515" s="95" t="s">
        <v>271</v>
      </c>
      <c r="C515" s="94" t="s">
        <v>767</v>
      </c>
      <c r="D515" s="94" t="s">
        <v>247</v>
      </c>
      <c r="E515" s="96">
        <v>32205</v>
      </c>
      <c r="F515" s="97">
        <f t="shared" ca="1" si="18"/>
        <v>28</v>
      </c>
      <c r="G515" s="98"/>
      <c r="H515" s="99">
        <v>52750</v>
      </c>
      <c r="I515" s="100">
        <v>1</v>
      </c>
    </row>
    <row r="516" spans="1:9" ht="13.5" x14ac:dyDescent="0.25">
      <c r="A516" s="94" t="s">
        <v>767</v>
      </c>
      <c r="B516" s="95" t="s">
        <v>271</v>
      </c>
      <c r="C516" s="94" t="s">
        <v>767</v>
      </c>
      <c r="D516" s="94" t="s">
        <v>256</v>
      </c>
      <c r="E516" s="96">
        <v>32216</v>
      </c>
      <c r="F516" s="97">
        <f t="shared" ca="1" si="18"/>
        <v>28</v>
      </c>
      <c r="G516" s="98" t="s">
        <v>267</v>
      </c>
      <c r="H516" s="99">
        <v>79400</v>
      </c>
      <c r="I516" s="100">
        <v>4</v>
      </c>
    </row>
    <row r="517" spans="1:9" ht="13.5" x14ac:dyDescent="0.25">
      <c r="A517" s="94" t="s">
        <v>767</v>
      </c>
      <c r="B517" s="95" t="s">
        <v>285</v>
      </c>
      <c r="C517" s="94" t="s">
        <v>767</v>
      </c>
      <c r="D517" s="94" t="s">
        <v>256</v>
      </c>
      <c r="E517" s="96">
        <v>32263</v>
      </c>
      <c r="F517" s="97">
        <f t="shared" ca="1" si="18"/>
        <v>28</v>
      </c>
      <c r="G517" s="98" t="s">
        <v>276</v>
      </c>
      <c r="H517" s="99">
        <v>71680</v>
      </c>
      <c r="I517" s="100">
        <v>4</v>
      </c>
    </row>
    <row r="518" spans="1:9" ht="13.5" x14ac:dyDescent="0.25">
      <c r="A518" s="94" t="s">
        <v>767</v>
      </c>
      <c r="B518" s="95" t="s">
        <v>245</v>
      </c>
      <c r="C518" s="94" t="s">
        <v>767</v>
      </c>
      <c r="D518" s="94" t="s">
        <v>247</v>
      </c>
      <c r="E518" s="96">
        <v>32268</v>
      </c>
      <c r="F518" s="97">
        <f t="shared" ca="1" si="18"/>
        <v>28</v>
      </c>
      <c r="G518" s="98"/>
      <c r="H518" s="99">
        <v>50840</v>
      </c>
      <c r="I518" s="100">
        <v>4</v>
      </c>
    </row>
    <row r="519" spans="1:9" ht="13.5" x14ac:dyDescent="0.25">
      <c r="A519" s="94" t="s">
        <v>767</v>
      </c>
      <c r="B519" s="95" t="s">
        <v>245</v>
      </c>
      <c r="C519" s="94" t="s">
        <v>767</v>
      </c>
      <c r="D519" s="94" t="s">
        <v>247</v>
      </c>
      <c r="E519" s="96">
        <v>32328</v>
      </c>
      <c r="F519" s="97">
        <f t="shared" ca="1" si="18"/>
        <v>28</v>
      </c>
      <c r="G519" s="98"/>
      <c r="H519" s="99">
        <v>47590</v>
      </c>
      <c r="I519" s="100">
        <v>3</v>
      </c>
    </row>
    <row r="520" spans="1:9" ht="13.5" x14ac:dyDescent="0.25">
      <c r="A520" s="94" t="s">
        <v>767</v>
      </c>
      <c r="B520" s="95" t="s">
        <v>245</v>
      </c>
      <c r="C520" s="94" t="s">
        <v>767</v>
      </c>
      <c r="D520" s="94" t="s">
        <v>247</v>
      </c>
      <c r="E520" s="96">
        <v>32348</v>
      </c>
      <c r="F520" s="97">
        <f t="shared" ca="1" si="18"/>
        <v>28</v>
      </c>
      <c r="G520" s="98"/>
      <c r="H520" s="99">
        <v>60550</v>
      </c>
      <c r="I520" s="100">
        <v>2</v>
      </c>
    </row>
    <row r="521" spans="1:9" ht="13.5" x14ac:dyDescent="0.25">
      <c r="A521" s="94" t="s">
        <v>767</v>
      </c>
      <c r="B521" s="95" t="s">
        <v>245</v>
      </c>
      <c r="C521" s="94" t="s">
        <v>767</v>
      </c>
      <c r="D521" s="94" t="s">
        <v>261</v>
      </c>
      <c r="E521" s="96">
        <v>32361</v>
      </c>
      <c r="F521" s="97">
        <f t="shared" ca="1" si="18"/>
        <v>28</v>
      </c>
      <c r="G521" s="98" t="s">
        <v>257</v>
      </c>
      <c r="H521" s="99">
        <v>46380</v>
      </c>
      <c r="I521" s="100">
        <v>3</v>
      </c>
    </row>
    <row r="522" spans="1:9" ht="13.5" x14ac:dyDescent="0.25">
      <c r="A522" s="94" t="s">
        <v>767</v>
      </c>
      <c r="B522" s="95" t="s">
        <v>271</v>
      </c>
      <c r="C522" s="94" t="s">
        <v>767</v>
      </c>
      <c r="D522" s="94" t="s">
        <v>247</v>
      </c>
      <c r="E522" s="96">
        <v>32639</v>
      </c>
      <c r="F522" s="97">
        <f t="shared" ca="1" si="18"/>
        <v>27</v>
      </c>
      <c r="G522" s="98"/>
      <c r="H522" s="99">
        <v>44720</v>
      </c>
      <c r="I522" s="100">
        <v>2</v>
      </c>
    </row>
    <row r="523" spans="1:9" ht="13.5" x14ac:dyDescent="0.25">
      <c r="A523" s="94" t="s">
        <v>767</v>
      </c>
      <c r="B523" s="95" t="s">
        <v>271</v>
      </c>
      <c r="C523" s="94" t="s">
        <v>767</v>
      </c>
      <c r="D523" s="94" t="s">
        <v>256</v>
      </c>
      <c r="E523" s="96">
        <v>32751</v>
      </c>
      <c r="F523" s="97">
        <f t="shared" ca="1" si="18"/>
        <v>27</v>
      </c>
      <c r="G523" s="98" t="s">
        <v>257</v>
      </c>
      <c r="H523" s="99">
        <v>23320</v>
      </c>
      <c r="I523" s="100">
        <v>4</v>
      </c>
    </row>
    <row r="524" spans="1:9" ht="13.5" x14ac:dyDescent="0.25">
      <c r="A524" s="94" t="s">
        <v>767</v>
      </c>
      <c r="B524" s="95" t="s">
        <v>285</v>
      </c>
      <c r="C524" s="94" t="s">
        <v>767</v>
      </c>
      <c r="D524" s="94" t="s">
        <v>256</v>
      </c>
      <c r="E524" s="96">
        <v>32839</v>
      </c>
      <c r="F524" s="97">
        <f t="shared" ca="1" si="18"/>
        <v>26</v>
      </c>
      <c r="G524" s="98" t="s">
        <v>276</v>
      </c>
      <c r="H524" s="99">
        <v>63440</v>
      </c>
      <c r="I524" s="100">
        <v>3</v>
      </c>
    </row>
    <row r="525" spans="1:9" ht="13.5" x14ac:dyDescent="0.25">
      <c r="A525" s="94" t="s">
        <v>767</v>
      </c>
      <c r="B525" s="95" t="s">
        <v>271</v>
      </c>
      <c r="C525" s="94" t="s">
        <v>767</v>
      </c>
      <c r="D525" s="94" t="s">
        <v>256</v>
      </c>
      <c r="E525" s="96">
        <v>32859</v>
      </c>
      <c r="F525" s="97">
        <f t="shared" ca="1" si="18"/>
        <v>26</v>
      </c>
      <c r="G525" s="98" t="s">
        <v>267</v>
      </c>
      <c r="H525" s="99">
        <v>69420</v>
      </c>
      <c r="I525" s="100">
        <v>2</v>
      </c>
    </row>
    <row r="526" spans="1:9" ht="13.5" x14ac:dyDescent="0.25">
      <c r="A526" s="94" t="s">
        <v>767</v>
      </c>
      <c r="B526" s="95" t="s">
        <v>271</v>
      </c>
      <c r="C526" s="94" t="s">
        <v>767</v>
      </c>
      <c r="D526" s="94" t="s">
        <v>256</v>
      </c>
      <c r="E526" s="96">
        <v>32912</v>
      </c>
      <c r="F526" s="97">
        <f t="shared" ca="1" si="18"/>
        <v>26</v>
      </c>
      <c r="G526" s="98" t="s">
        <v>257</v>
      </c>
      <c r="H526" s="99">
        <v>62688</v>
      </c>
      <c r="I526" s="100">
        <v>2</v>
      </c>
    </row>
    <row r="527" spans="1:9" ht="13.5" x14ac:dyDescent="0.25">
      <c r="A527" s="94" t="s">
        <v>767</v>
      </c>
      <c r="B527" s="95" t="s">
        <v>271</v>
      </c>
      <c r="C527" s="94" t="s">
        <v>767</v>
      </c>
      <c r="D527" s="94" t="s">
        <v>247</v>
      </c>
      <c r="E527" s="96">
        <v>33168</v>
      </c>
      <c r="F527" s="97">
        <f t="shared" ca="1" si="18"/>
        <v>26</v>
      </c>
      <c r="G527" s="98"/>
      <c r="H527" s="99">
        <v>56650</v>
      </c>
      <c r="I527" s="100">
        <v>1</v>
      </c>
    </row>
    <row r="528" spans="1:9" ht="13.5" x14ac:dyDescent="0.25">
      <c r="A528" s="94" t="s">
        <v>767</v>
      </c>
      <c r="B528" s="95" t="s">
        <v>285</v>
      </c>
      <c r="C528" s="94" t="s">
        <v>767</v>
      </c>
      <c r="D528" s="94" t="s">
        <v>247</v>
      </c>
      <c r="E528" s="96">
        <v>33348</v>
      </c>
      <c r="F528" s="97">
        <f t="shared" ca="1" si="18"/>
        <v>25</v>
      </c>
      <c r="G528" s="98"/>
      <c r="H528" s="99">
        <v>85980</v>
      </c>
      <c r="I528" s="100">
        <v>2</v>
      </c>
    </row>
    <row r="529" spans="1:9" ht="13.5" x14ac:dyDescent="0.25">
      <c r="A529" s="94" t="s">
        <v>767</v>
      </c>
      <c r="B529" s="95" t="s">
        <v>280</v>
      </c>
      <c r="C529" s="94" t="s">
        <v>767</v>
      </c>
      <c r="D529" s="94" t="s">
        <v>256</v>
      </c>
      <c r="E529" s="96">
        <v>33383</v>
      </c>
      <c r="F529" s="97">
        <f t="shared" ca="1" si="18"/>
        <v>25</v>
      </c>
      <c r="G529" s="98" t="s">
        <v>262</v>
      </c>
      <c r="H529" s="99">
        <v>88820</v>
      </c>
      <c r="I529" s="100">
        <v>2</v>
      </c>
    </row>
    <row r="530" spans="1:9" ht="13.5" x14ac:dyDescent="0.25">
      <c r="A530" s="94" t="s">
        <v>767</v>
      </c>
      <c r="B530" s="95" t="s">
        <v>271</v>
      </c>
      <c r="C530" s="94" t="s">
        <v>767</v>
      </c>
      <c r="D530" s="94" t="s">
        <v>247</v>
      </c>
      <c r="E530" s="96">
        <v>33416</v>
      </c>
      <c r="F530" s="97">
        <f t="shared" ca="1" si="18"/>
        <v>25</v>
      </c>
      <c r="G530" s="98"/>
      <c r="H530" s="99">
        <v>33120</v>
      </c>
      <c r="I530" s="100">
        <v>2</v>
      </c>
    </row>
    <row r="531" spans="1:9" ht="13.5" x14ac:dyDescent="0.25">
      <c r="A531" s="94" t="s">
        <v>767</v>
      </c>
      <c r="B531" s="95" t="s">
        <v>245</v>
      </c>
      <c r="C531" s="94" t="s">
        <v>767</v>
      </c>
      <c r="D531" s="94" t="s">
        <v>261</v>
      </c>
      <c r="E531" s="96">
        <v>33483</v>
      </c>
      <c r="F531" s="97">
        <f t="shared" ca="1" si="18"/>
        <v>25</v>
      </c>
      <c r="G531" s="98" t="s">
        <v>283</v>
      </c>
      <c r="H531" s="99">
        <v>10700</v>
      </c>
      <c r="I531" s="100">
        <v>4</v>
      </c>
    </row>
    <row r="532" spans="1:9" ht="13.5" x14ac:dyDescent="0.25">
      <c r="A532" s="94" t="s">
        <v>767</v>
      </c>
      <c r="B532" s="95" t="s">
        <v>280</v>
      </c>
      <c r="C532" s="94" t="s">
        <v>767</v>
      </c>
      <c r="D532" s="94" t="s">
        <v>247</v>
      </c>
      <c r="E532" s="96">
        <v>33605</v>
      </c>
      <c r="F532" s="97">
        <f t="shared" ca="1" si="18"/>
        <v>24</v>
      </c>
      <c r="G532" s="98"/>
      <c r="H532" s="99">
        <v>76870</v>
      </c>
      <c r="I532" s="100">
        <v>5</v>
      </c>
    </row>
    <row r="533" spans="1:9" ht="13.5" x14ac:dyDescent="0.25">
      <c r="A533" s="94" t="s">
        <v>767</v>
      </c>
      <c r="B533" s="95" t="s">
        <v>245</v>
      </c>
      <c r="C533" s="94" t="s">
        <v>767</v>
      </c>
      <c r="D533" s="94" t="s">
        <v>256</v>
      </c>
      <c r="E533" s="96">
        <v>33679</v>
      </c>
      <c r="F533" s="97">
        <f t="shared" ca="1" si="18"/>
        <v>24</v>
      </c>
      <c r="G533" s="98" t="s">
        <v>257</v>
      </c>
      <c r="H533" s="99">
        <v>50570</v>
      </c>
      <c r="I533" s="100">
        <v>4</v>
      </c>
    </row>
    <row r="534" spans="1:9" ht="13.5" x14ac:dyDescent="0.25">
      <c r="A534" s="94" t="s">
        <v>767</v>
      </c>
      <c r="B534" s="95" t="s">
        <v>245</v>
      </c>
      <c r="C534" s="94" t="s">
        <v>767</v>
      </c>
      <c r="D534" s="94" t="s">
        <v>256</v>
      </c>
      <c r="E534" s="96">
        <v>33784</v>
      </c>
      <c r="F534" s="97">
        <f t="shared" ca="1" si="18"/>
        <v>24</v>
      </c>
      <c r="G534" s="98" t="s">
        <v>262</v>
      </c>
      <c r="H534" s="99">
        <v>61148</v>
      </c>
      <c r="I534" s="100">
        <v>2</v>
      </c>
    </row>
    <row r="535" spans="1:9" ht="13.5" x14ac:dyDescent="0.25">
      <c r="A535" s="94" t="s">
        <v>767</v>
      </c>
      <c r="B535" s="95" t="s">
        <v>285</v>
      </c>
      <c r="C535" s="94" t="s">
        <v>767</v>
      </c>
      <c r="D535" s="94" t="s">
        <v>247</v>
      </c>
      <c r="E535" s="96">
        <v>33836</v>
      </c>
      <c r="F535" s="97">
        <f t="shared" ca="1" si="18"/>
        <v>24</v>
      </c>
      <c r="G535" s="98"/>
      <c r="H535" s="99">
        <v>73190</v>
      </c>
      <c r="I535" s="100">
        <v>1</v>
      </c>
    </row>
    <row r="536" spans="1:9" ht="13.5" x14ac:dyDescent="0.25">
      <c r="A536" s="94" t="s">
        <v>767</v>
      </c>
      <c r="B536" s="95" t="s">
        <v>245</v>
      </c>
      <c r="C536" s="94" t="s">
        <v>767</v>
      </c>
      <c r="D536" s="94" t="s">
        <v>256</v>
      </c>
      <c r="E536" s="96">
        <v>33841</v>
      </c>
      <c r="F536" s="97">
        <f t="shared" ca="1" si="18"/>
        <v>24</v>
      </c>
      <c r="G536" s="98" t="s">
        <v>276</v>
      </c>
      <c r="H536" s="99">
        <v>29760</v>
      </c>
      <c r="I536" s="100">
        <v>2</v>
      </c>
    </row>
    <row r="537" spans="1:9" ht="13.5" x14ac:dyDescent="0.25">
      <c r="A537" s="94" t="s">
        <v>767</v>
      </c>
      <c r="B537" s="95" t="s">
        <v>245</v>
      </c>
      <c r="C537" s="94" t="s">
        <v>767</v>
      </c>
      <c r="D537" s="94" t="s">
        <v>256</v>
      </c>
      <c r="E537" s="96">
        <v>33841</v>
      </c>
      <c r="F537" s="97">
        <f t="shared" ca="1" si="18"/>
        <v>24</v>
      </c>
      <c r="G537" s="98" t="s">
        <v>276</v>
      </c>
      <c r="H537" s="99">
        <v>29760</v>
      </c>
      <c r="I537" s="100">
        <v>2</v>
      </c>
    </row>
    <row r="538" spans="1:9" ht="13.5" x14ac:dyDescent="0.25">
      <c r="A538" s="94" t="s">
        <v>767</v>
      </c>
      <c r="B538" s="95" t="s">
        <v>285</v>
      </c>
      <c r="C538" s="94" t="s">
        <v>767</v>
      </c>
      <c r="D538" s="94" t="s">
        <v>256</v>
      </c>
      <c r="E538" s="96">
        <v>33859</v>
      </c>
      <c r="F538" s="97">
        <f t="shared" ca="1" si="18"/>
        <v>24</v>
      </c>
      <c r="G538" s="98" t="s">
        <v>276</v>
      </c>
      <c r="H538" s="99">
        <v>72640</v>
      </c>
      <c r="I538" s="100">
        <v>3</v>
      </c>
    </row>
    <row r="539" spans="1:9" ht="13.5" x14ac:dyDescent="0.25">
      <c r="A539" s="94" t="s">
        <v>767</v>
      </c>
      <c r="B539" s="95" t="s">
        <v>271</v>
      </c>
      <c r="C539" s="94" t="s">
        <v>767</v>
      </c>
      <c r="D539" s="94" t="s">
        <v>256</v>
      </c>
      <c r="E539" s="96">
        <v>33909</v>
      </c>
      <c r="F539" s="97">
        <f t="shared" ca="1" si="18"/>
        <v>24</v>
      </c>
      <c r="G539" s="98" t="s">
        <v>257</v>
      </c>
      <c r="H539" s="99">
        <v>47340</v>
      </c>
      <c r="I539" s="100">
        <v>2</v>
      </c>
    </row>
    <row r="540" spans="1:9" ht="13.5" x14ac:dyDescent="0.25">
      <c r="A540" s="94" t="s">
        <v>767</v>
      </c>
      <c r="B540" s="95" t="s">
        <v>245</v>
      </c>
      <c r="C540" s="94" t="s">
        <v>767</v>
      </c>
      <c r="D540" s="94" t="s">
        <v>256</v>
      </c>
      <c r="E540" s="96">
        <v>33976</v>
      </c>
      <c r="F540" s="97">
        <f t="shared" ca="1" si="18"/>
        <v>23</v>
      </c>
      <c r="G540" s="98" t="s">
        <v>262</v>
      </c>
      <c r="H540" s="99">
        <v>72700</v>
      </c>
      <c r="I540" s="100">
        <v>5</v>
      </c>
    </row>
    <row r="541" spans="1:9" ht="13.5" x14ac:dyDescent="0.25">
      <c r="A541" s="94" t="s">
        <v>767</v>
      </c>
      <c r="B541" s="95" t="s">
        <v>285</v>
      </c>
      <c r="C541" s="94" t="s">
        <v>767</v>
      </c>
      <c r="D541" s="94" t="s">
        <v>247</v>
      </c>
      <c r="E541" s="96">
        <v>33991</v>
      </c>
      <c r="F541" s="97">
        <f t="shared" ca="1" si="18"/>
        <v>23</v>
      </c>
      <c r="G541" s="98"/>
      <c r="H541" s="99">
        <v>60070</v>
      </c>
      <c r="I541" s="100">
        <v>2</v>
      </c>
    </row>
    <row r="542" spans="1:9" ht="13.5" x14ac:dyDescent="0.25">
      <c r="A542" s="94" t="s">
        <v>767</v>
      </c>
      <c r="B542" s="95" t="s">
        <v>285</v>
      </c>
      <c r="C542" s="94" t="s">
        <v>767</v>
      </c>
      <c r="D542" s="94" t="s">
        <v>256</v>
      </c>
      <c r="E542" s="96">
        <v>34218</v>
      </c>
      <c r="F542" s="97">
        <f t="shared" ca="1" si="18"/>
        <v>23</v>
      </c>
      <c r="G542" s="98" t="s">
        <v>257</v>
      </c>
      <c r="H542" s="99">
        <v>63270</v>
      </c>
      <c r="I542" s="100">
        <v>1</v>
      </c>
    </row>
    <row r="543" spans="1:9" ht="13.5" x14ac:dyDescent="0.25">
      <c r="A543" s="94" t="s">
        <v>767</v>
      </c>
      <c r="B543" s="95" t="s">
        <v>245</v>
      </c>
      <c r="C543" s="94" t="s">
        <v>767</v>
      </c>
      <c r="D543" s="94" t="s">
        <v>247</v>
      </c>
      <c r="E543" s="96">
        <v>34231</v>
      </c>
      <c r="F543" s="97">
        <f t="shared" ca="1" si="18"/>
        <v>23</v>
      </c>
      <c r="G543" s="98"/>
      <c r="H543" s="99">
        <v>49530</v>
      </c>
      <c r="I543" s="100">
        <v>4</v>
      </c>
    </row>
    <row r="544" spans="1:9" ht="13.5" x14ac:dyDescent="0.25">
      <c r="A544" s="94" t="s">
        <v>767</v>
      </c>
      <c r="B544" s="95" t="s">
        <v>285</v>
      </c>
      <c r="C544" s="94" t="s">
        <v>767</v>
      </c>
      <c r="D544" s="94" t="s">
        <v>256</v>
      </c>
      <c r="E544" s="96">
        <v>34306</v>
      </c>
      <c r="F544" s="97">
        <f t="shared" ca="1" si="18"/>
        <v>22</v>
      </c>
      <c r="G544" s="98" t="s">
        <v>283</v>
      </c>
      <c r="H544" s="99">
        <v>34060</v>
      </c>
      <c r="I544" s="100">
        <v>2</v>
      </c>
    </row>
    <row r="545" spans="1:9" ht="13.5" x14ac:dyDescent="0.25">
      <c r="A545" s="94" t="s">
        <v>767</v>
      </c>
      <c r="B545" s="95" t="s">
        <v>285</v>
      </c>
      <c r="C545" s="94" t="s">
        <v>767</v>
      </c>
      <c r="D545" s="94" t="s">
        <v>256</v>
      </c>
      <c r="E545" s="96">
        <v>34383</v>
      </c>
      <c r="F545" s="97">
        <f t="shared" ca="1" si="18"/>
        <v>22</v>
      </c>
      <c r="G545" s="98" t="s">
        <v>262</v>
      </c>
      <c r="H545" s="99">
        <v>24340</v>
      </c>
      <c r="I545" s="100">
        <v>4</v>
      </c>
    </row>
    <row r="546" spans="1:9" ht="13.5" x14ac:dyDescent="0.25">
      <c r="A546" s="94" t="s">
        <v>767</v>
      </c>
      <c r="B546" s="95" t="s">
        <v>251</v>
      </c>
      <c r="C546" s="94" t="s">
        <v>767</v>
      </c>
      <c r="D546" s="94" t="s">
        <v>247</v>
      </c>
      <c r="E546" s="96">
        <v>34389</v>
      </c>
      <c r="F546" s="97">
        <f t="shared" ca="1" si="18"/>
        <v>22</v>
      </c>
      <c r="G546" s="98"/>
      <c r="H546" s="99">
        <v>36230</v>
      </c>
      <c r="I546" s="100">
        <v>2</v>
      </c>
    </row>
    <row r="547" spans="1:9" ht="13.5" x14ac:dyDescent="0.25">
      <c r="A547" s="94" t="s">
        <v>767</v>
      </c>
      <c r="B547" s="95" t="s">
        <v>245</v>
      </c>
      <c r="C547" s="94" t="s">
        <v>767</v>
      </c>
      <c r="D547" s="94" t="s">
        <v>256</v>
      </c>
      <c r="E547" s="96">
        <v>34511</v>
      </c>
      <c r="F547" s="97">
        <f t="shared" ca="1" si="18"/>
        <v>22</v>
      </c>
      <c r="G547" s="98" t="s">
        <v>267</v>
      </c>
      <c r="H547" s="99">
        <v>22870</v>
      </c>
      <c r="I547" s="100">
        <v>3</v>
      </c>
    </row>
    <row r="548" spans="1:9" ht="13.5" x14ac:dyDescent="0.25">
      <c r="A548" s="94" t="s">
        <v>767</v>
      </c>
      <c r="B548" s="95" t="s">
        <v>280</v>
      </c>
      <c r="C548" s="94" t="s">
        <v>767</v>
      </c>
      <c r="D548" s="94" t="s">
        <v>261</v>
      </c>
      <c r="E548" s="96">
        <v>34516</v>
      </c>
      <c r="F548" s="97">
        <f t="shared" ca="1" si="18"/>
        <v>22</v>
      </c>
      <c r="G548" s="98" t="s">
        <v>257</v>
      </c>
      <c r="H548" s="99">
        <v>31205</v>
      </c>
      <c r="I548" s="100">
        <v>2</v>
      </c>
    </row>
    <row r="549" spans="1:9" ht="13.5" x14ac:dyDescent="0.25">
      <c r="A549" s="94" t="s">
        <v>767</v>
      </c>
      <c r="B549" s="95" t="s">
        <v>251</v>
      </c>
      <c r="C549" s="94" t="s">
        <v>767</v>
      </c>
      <c r="D549" s="94" t="s">
        <v>256</v>
      </c>
      <c r="E549" s="96">
        <v>34608</v>
      </c>
      <c r="F549" s="97">
        <f t="shared" ca="1" si="18"/>
        <v>22</v>
      </c>
      <c r="G549" s="98" t="s">
        <v>262</v>
      </c>
      <c r="H549" s="99">
        <v>73740</v>
      </c>
      <c r="I549" s="100">
        <v>4</v>
      </c>
    </row>
    <row r="550" spans="1:9" ht="13.5" x14ac:dyDescent="0.25">
      <c r="A550" s="94" t="s">
        <v>767</v>
      </c>
      <c r="B550" s="95" t="s">
        <v>245</v>
      </c>
      <c r="C550" s="94" t="s">
        <v>767</v>
      </c>
      <c r="D550" s="94" t="s">
        <v>252</v>
      </c>
      <c r="E550" s="96">
        <v>34636</v>
      </c>
      <c r="F550" s="97">
        <f t="shared" ca="1" si="18"/>
        <v>22</v>
      </c>
      <c r="G550" s="98"/>
      <c r="H550" s="99">
        <v>14332</v>
      </c>
      <c r="I550" s="100">
        <v>5</v>
      </c>
    </row>
    <row r="551" spans="1:9" ht="13.5" x14ac:dyDescent="0.25">
      <c r="A551" s="94" t="s">
        <v>767</v>
      </c>
      <c r="B551" s="95" t="s">
        <v>285</v>
      </c>
      <c r="C551" s="94" t="s">
        <v>767</v>
      </c>
      <c r="D551" s="94" t="s">
        <v>256</v>
      </c>
      <c r="E551" s="96">
        <v>34648</v>
      </c>
      <c r="F551" s="97">
        <f t="shared" ca="1" si="18"/>
        <v>21</v>
      </c>
      <c r="G551" s="98" t="s">
        <v>283</v>
      </c>
      <c r="H551" s="99">
        <v>61420</v>
      </c>
      <c r="I551" s="100">
        <v>4</v>
      </c>
    </row>
    <row r="552" spans="1:9" ht="13.5" x14ac:dyDescent="0.25">
      <c r="A552" s="94" t="s">
        <v>767</v>
      </c>
      <c r="B552" s="95" t="s">
        <v>271</v>
      </c>
      <c r="C552" s="94" t="s">
        <v>767</v>
      </c>
      <c r="D552" s="94" t="s">
        <v>256</v>
      </c>
      <c r="E552" s="96">
        <v>34680</v>
      </c>
      <c r="F552" s="97">
        <f t="shared" ca="1" si="18"/>
        <v>21</v>
      </c>
      <c r="G552" s="98" t="s">
        <v>276</v>
      </c>
      <c r="H552" s="99">
        <v>36890</v>
      </c>
      <c r="I552" s="100">
        <v>1</v>
      </c>
    </row>
    <row r="553" spans="1:9" ht="13.5" x14ac:dyDescent="0.25">
      <c r="A553" s="94" t="s">
        <v>767</v>
      </c>
      <c r="B553" s="95" t="s">
        <v>285</v>
      </c>
      <c r="C553" s="94" t="s">
        <v>767</v>
      </c>
      <c r="D553" s="94" t="s">
        <v>252</v>
      </c>
      <c r="E553" s="96">
        <v>34718</v>
      </c>
      <c r="F553" s="97">
        <f t="shared" ca="1" si="18"/>
        <v>21</v>
      </c>
      <c r="G553" s="98"/>
      <c r="H553" s="99">
        <v>16688</v>
      </c>
      <c r="I553" s="100">
        <v>3</v>
      </c>
    </row>
    <row r="554" spans="1:9" ht="13.5" x14ac:dyDescent="0.25">
      <c r="A554" s="94" t="s">
        <v>767</v>
      </c>
      <c r="B554" s="95" t="s">
        <v>285</v>
      </c>
      <c r="C554" s="94" t="s">
        <v>767</v>
      </c>
      <c r="D554" s="94" t="s">
        <v>261</v>
      </c>
      <c r="E554" s="96">
        <v>34774</v>
      </c>
      <c r="F554" s="97">
        <f t="shared" ca="1" si="18"/>
        <v>21</v>
      </c>
      <c r="G554" s="98" t="s">
        <v>262</v>
      </c>
      <c r="H554" s="99">
        <v>45750</v>
      </c>
      <c r="I554" s="100">
        <v>5</v>
      </c>
    </row>
    <row r="555" spans="1:9" ht="13.5" x14ac:dyDescent="0.25">
      <c r="A555" s="94" t="s">
        <v>767</v>
      </c>
      <c r="B555" s="95" t="s">
        <v>245</v>
      </c>
      <c r="C555" s="94" t="s">
        <v>767</v>
      </c>
      <c r="D555" s="94" t="s">
        <v>247</v>
      </c>
      <c r="E555" s="96">
        <v>34776</v>
      </c>
      <c r="F555" s="97">
        <f t="shared" ca="1" si="18"/>
        <v>21</v>
      </c>
      <c r="G555" s="98"/>
      <c r="H555" s="99">
        <v>47520</v>
      </c>
      <c r="I555" s="100">
        <v>1</v>
      </c>
    </row>
    <row r="556" spans="1:9" ht="13.5" x14ac:dyDescent="0.25">
      <c r="A556" s="94" t="s">
        <v>767</v>
      </c>
      <c r="B556" s="95" t="s">
        <v>271</v>
      </c>
      <c r="C556" s="94" t="s">
        <v>767</v>
      </c>
      <c r="D556" s="94" t="s">
        <v>256</v>
      </c>
      <c r="E556" s="96">
        <v>34778</v>
      </c>
      <c r="F556" s="97">
        <f t="shared" ca="1" si="18"/>
        <v>21</v>
      </c>
      <c r="G556" s="98" t="s">
        <v>267</v>
      </c>
      <c r="H556" s="99">
        <v>54580</v>
      </c>
      <c r="I556" s="100">
        <v>4</v>
      </c>
    </row>
    <row r="557" spans="1:9" ht="13.5" x14ac:dyDescent="0.25">
      <c r="A557" s="94" t="s">
        <v>767</v>
      </c>
      <c r="B557" s="95" t="s">
        <v>251</v>
      </c>
      <c r="C557" s="94" t="s">
        <v>767</v>
      </c>
      <c r="D557" s="94" t="s">
        <v>256</v>
      </c>
      <c r="E557" s="96">
        <v>34826</v>
      </c>
      <c r="F557" s="97">
        <f t="shared" ca="1" si="18"/>
        <v>21</v>
      </c>
      <c r="G557" s="98" t="s">
        <v>283</v>
      </c>
      <c r="H557" s="99">
        <v>45000</v>
      </c>
      <c r="I557" s="100">
        <v>4</v>
      </c>
    </row>
    <row r="558" spans="1:9" ht="13.5" x14ac:dyDescent="0.25">
      <c r="A558" s="94" t="s">
        <v>767</v>
      </c>
      <c r="B558" s="95" t="s">
        <v>271</v>
      </c>
      <c r="C558" s="94" t="s">
        <v>767</v>
      </c>
      <c r="D558" s="94" t="s">
        <v>256</v>
      </c>
      <c r="E558" s="96">
        <v>34885</v>
      </c>
      <c r="F558" s="97">
        <f t="shared" ca="1" si="18"/>
        <v>21</v>
      </c>
      <c r="G558" s="98" t="s">
        <v>267</v>
      </c>
      <c r="H558" s="99">
        <v>46360</v>
      </c>
      <c r="I558" s="100">
        <v>5</v>
      </c>
    </row>
    <row r="559" spans="1:9" ht="13.5" x14ac:dyDescent="0.25">
      <c r="A559" s="94" t="s">
        <v>767</v>
      </c>
      <c r="B559" s="95" t="s">
        <v>271</v>
      </c>
      <c r="C559" s="94" t="s">
        <v>767</v>
      </c>
      <c r="D559" s="94" t="s">
        <v>256</v>
      </c>
      <c r="E559" s="96">
        <v>34885</v>
      </c>
      <c r="F559" s="97">
        <f t="shared" ca="1" si="18"/>
        <v>21</v>
      </c>
      <c r="G559" s="98" t="s">
        <v>267</v>
      </c>
      <c r="H559" s="99">
        <v>46360</v>
      </c>
      <c r="I559" s="100">
        <v>5</v>
      </c>
    </row>
    <row r="560" spans="1:9" ht="13.5" x14ac:dyDescent="0.25">
      <c r="A560" s="94" t="s">
        <v>767</v>
      </c>
      <c r="B560" s="95" t="s">
        <v>280</v>
      </c>
      <c r="C560" s="94" t="s">
        <v>767</v>
      </c>
      <c r="D560" s="94" t="s">
        <v>261</v>
      </c>
      <c r="E560" s="96">
        <v>34907</v>
      </c>
      <c r="F560" s="97">
        <f t="shared" ca="1" si="18"/>
        <v>21</v>
      </c>
      <c r="G560" s="98" t="s">
        <v>283</v>
      </c>
      <c r="H560" s="99">
        <v>22475</v>
      </c>
      <c r="I560" s="100">
        <v>4</v>
      </c>
    </row>
    <row r="561" spans="1:9" ht="13.5" x14ac:dyDescent="0.25">
      <c r="A561" s="94" t="s">
        <v>767</v>
      </c>
      <c r="B561" s="95" t="s">
        <v>271</v>
      </c>
      <c r="C561" s="94" t="s">
        <v>767</v>
      </c>
      <c r="D561" s="94" t="s">
        <v>247</v>
      </c>
      <c r="E561" s="96">
        <v>34987</v>
      </c>
      <c r="F561" s="97">
        <f t="shared" ca="1" si="18"/>
        <v>21</v>
      </c>
      <c r="G561" s="98"/>
      <c r="H561" s="99">
        <v>57990</v>
      </c>
      <c r="I561" s="100">
        <v>5</v>
      </c>
    </row>
    <row r="562" spans="1:9" ht="13.5" x14ac:dyDescent="0.25">
      <c r="A562" s="94" t="s">
        <v>767</v>
      </c>
      <c r="B562" s="95" t="s">
        <v>285</v>
      </c>
      <c r="C562" s="94" t="s">
        <v>767</v>
      </c>
      <c r="D562" s="94" t="s">
        <v>252</v>
      </c>
      <c r="E562" s="96">
        <v>35030</v>
      </c>
      <c r="F562" s="97">
        <f t="shared" ca="1" si="18"/>
        <v>20</v>
      </c>
      <c r="G562" s="98"/>
      <c r="H562" s="99">
        <v>37016</v>
      </c>
      <c r="I562" s="100">
        <v>4</v>
      </c>
    </row>
    <row r="563" spans="1:9" ht="13.5" x14ac:dyDescent="0.25">
      <c r="A563" s="94" t="s">
        <v>767</v>
      </c>
      <c r="B563" s="95" t="s">
        <v>266</v>
      </c>
      <c r="C563" s="94" t="s">
        <v>767</v>
      </c>
      <c r="D563" s="94" t="s">
        <v>247</v>
      </c>
      <c r="E563" s="96">
        <v>35065</v>
      </c>
      <c r="F563" s="97">
        <f t="shared" ca="1" si="18"/>
        <v>20</v>
      </c>
      <c r="G563" s="98"/>
      <c r="H563" s="99">
        <v>71300</v>
      </c>
      <c r="I563" s="100">
        <v>5</v>
      </c>
    </row>
    <row r="564" spans="1:9" ht="13.5" x14ac:dyDescent="0.25">
      <c r="A564" s="94" t="s">
        <v>767</v>
      </c>
      <c r="B564" s="95" t="s">
        <v>271</v>
      </c>
      <c r="C564" s="94" t="s">
        <v>767</v>
      </c>
      <c r="D564" s="94" t="s">
        <v>252</v>
      </c>
      <c r="E564" s="96">
        <v>35070</v>
      </c>
      <c r="F564" s="97">
        <f t="shared" ca="1" si="18"/>
        <v>20</v>
      </c>
      <c r="G564" s="98"/>
      <c r="H564" s="99">
        <v>36052</v>
      </c>
      <c r="I564" s="100">
        <v>5</v>
      </c>
    </row>
    <row r="565" spans="1:9" ht="13.5" x14ac:dyDescent="0.25">
      <c r="A565" s="94" t="s">
        <v>767</v>
      </c>
      <c r="B565" s="95" t="s">
        <v>271</v>
      </c>
      <c r="C565" s="94" t="s">
        <v>767</v>
      </c>
      <c r="D565" s="94" t="s">
        <v>256</v>
      </c>
      <c r="E565" s="96">
        <v>35083</v>
      </c>
      <c r="F565" s="97">
        <f t="shared" ca="1" si="18"/>
        <v>20</v>
      </c>
      <c r="G565" s="98" t="s">
        <v>283</v>
      </c>
      <c r="H565" s="99">
        <v>65910</v>
      </c>
      <c r="I565" s="100">
        <v>5</v>
      </c>
    </row>
    <row r="566" spans="1:9" ht="13.5" x14ac:dyDescent="0.25">
      <c r="A566" s="94" t="s">
        <v>767</v>
      </c>
      <c r="B566" s="95" t="s">
        <v>271</v>
      </c>
      <c r="C566" s="94" t="s">
        <v>767</v>
      </c>
      <c r="D566" s="94" t="s">
        <v>256</v>
      </c>
      <c r="E566" s="96">
        <v>35226</v>
      </c>
      <c r="F566" s="97">
        <f t="shared" ca="1" si="18"/>
        <v>20</v>
      </c>
      <c r="G566" s="98" t="s">
        <v>257</v>
      </c>
      <c r="H566" s="99">
        <v>62400</v>
      </c>
      <c r="I566" s="100">
        <v>4</v>
      </c>
    </row>
    <row r="567" spans="1:9" ht="13.5" x14ac:dyDescent="0.25">
      <c r="A567" s="94" t="s">
        <v>767</v>
      </c>
      <c r="B567" s="95" t="s">
        <v>271</v>
      </c>
      <c r="C567" s="94" t="s">
        <v>767</v>
      </c>
      <c r="D567" s="94" t="s">
        <v>256</v>
      </c>
      <c r="E567" s="96">
        <v>35363</v>
      </c>
      <c r="F567" s="97">
        <f t="shared" ca="1" si="18"/>
        <v>20</v>
      </c>
      <c r="G567" s="98" t="s">
        <v>276</v>
      </c>
      <c r="H567" s="99">
        <v>48330</v>
      </c>
      <c r="I567" s="100">
        <v>1</v>
      </c>
    </row>
    <row r="568" spans="1:9" ht="13.5" x14ac:dyDescent="0.25">
      <c r="A568" s="94" t="s">
        <v>767</v>
      </c>
      <c r="B568" s="95" t="s">
        <v>285</v>
      </c>
      <c r="C568" s="94" t="s">
        <v>767</v>
      </c>
      <c r="D568" s="94" t="s">
        <v>247</v>
      </c>
      <c r="E568" s="96">
        <v>35477</v>
      </c>
      <c r="F568" s="97">
        <f t="shared" ca="1" si="18"/>
        <v>19</v>
      </c>
      <c r="G568" s="98"/>
      <c r="H568" s="99">
        <v>89640</v>
      </c>
      <c r="I568" s="100">
        <v>4</v>
      </c>
    </row>
    <row r="569" spans="1:9" ht="13.5" x14ac:dyDescent="0.25">
      <c r="A569" s="94" t="s">
        <v>767</v>
      </c>
      <c r="B569" s="95" t="s">
        <v>271</v>
      </c>
      <c r="C569" s="94" t="s">
        <v>767</v>
      </c>
      <c r="D569" s="94" t="s">
        <v>256</v>
      </c>
      <c r="E569" s="96">
        <v>35828</v>
      </c>
      <c r="F569" s="97">
        <f t="shared" ca="1" si="18"/>
        <v>18</v>
      </c>
      <c r="G569" s="98" t="s">
        <v>257</v>
      </c>
      <c r="H569" s="99">
        <v>29130</v>
      </c>
      <c r="I569" s="100">
        <v>1</v>
      </c>
    </row>
    <row r="570" spans="1:9" ht="13.5" x14ac:dyDescent="0.25">
      <c r="A570" s="94" t="s">
        <v>767</v>
      </c>
      <c r="B570" s="95" t="s">
        <v>271</v>
      </c>
      <c r="C570" s="94" t="s">
        <v>767</v>
      </c>
      <c r="D570" s="94" t="s">
        <v>261</v>
      </c>
      <c r="E570" s="96">
        <v>35939</v>
      </c>
      <c r="F570" s="97">
        <f t="shared" ca="1" si="18"/>
        <v>18</v>
      </c>
      <c r="G570" s="98" t="s">
        <v>276</v>
      </c>
      <c r="H570" s="99">
        <v>12545</v>
      </c>
      <c r="I570" s="100">
        <v>4</v>
      </c>
    </row>
    <row r="571" spans="1:9" ht="13.5" x14ac:dyDescent="0.25">
      <c r="A571" s="94" t="s">
        <v>767</v>
      </c>
      <c r="B571" s="95" t="s">
        <v>271</v>
      </c>
      <c r="C571" s="94" t="s">
        <v>767</v>
      </c>
      <c r="D571" s="94" t="s">
        <v>247</v>
      </c>
      <c r="E571" s="96">
        <v>36094</v>
      </c>
      <c r="F571" s="97">
        <f t="shared" ref="F571:F597" ca="1" si="19">DATEDIF(E571,TODAY(),"Y")</f>
        <v>18</v>
      </c>
      <c r="G571" s="98"/>
      <c r="H571" s="99">
        <v>60070</v>
      </c>
      <c r="I571" s="100">
        <v>3</v>
      </c>
    </row>
    <row r="572" spans="1:9" ht="13.5" x14ac:dyDescent="0.25">
      <c r="A572" s="94" t="s">
        <v>767</v>
      </c>
      <c r="B572" s="95" t="s">
        <v>285</v>
      </c>
      <c r="C572" s="94" t="s">
        <v>767</v>
      </c>
      <c r="D572" s="94" t="s">
        <v>247</v>
      </c>
      <c r="E572" s="96">
        <v>36216</v>
      </c>
      <c r="F572" s="97">
        <f t="shared" ca="1" si="19"/>
        <v>17</v>
      </c>
      <c r="G572" s="98"/>
      <c r="H572" s="99">
        <v>61580</v>
      </c>
      <c r="I572" s="100">
        <v>3</v>
      </c>
    </row>
    <row r="573" spans="1:9" ht="13.5" x14ac:dyDescent="0.25">
      <c r="A573" s="94" t="s">
        <v>767</v>
      </c>
      <c r="B573" s="95" t="s">
        <v>285</v>
      </c>
      <c r="C573" s="94" t="s">
        <v>767</v>
      </c>
      <c r="D573" s="94" t="s">
        <v>256</v>
      </c>
      <c r="E573" s="96">
        <v>36258</v>
      </c>
      <c r="F573" s="97">
        <f t="shared" ca="1" si="19"/>
        <v>17</v>
      </c>
      <c r="G573" s="98" t="s">
        <v>262</v>
      </c>
      <c r="H573" s="99">
        <v>45100</v>
      </c>
      <c r="I573" s="100">
        <v>2</v>
      </c>
    </row>
    <row r="574" spans="1:9" ht="13.5" x14ac:dyDescent="0.25">
      <c r="A574" s="94" t="s">
        <v>767</v>
      </c>
      <c r="B574" s="95" t="s">
        <v>285</v>
      </c>
      <c r="C574" s="94" t="s">
        <v>767</v>
      </c>
      <c r="D574" s="94" t="s">
        <v>256</v>
      </c>
      <c r="E574" s="96">
        <v>36391</v>
      </c>
      <c r="F574" s="97">
        <f t="shared" ca="1" si="19"/>
        <v>17</v>
      </c>
      <c r="G574" s="98" t="s">
        <v>262</v>
      </c>
      <c r="H574" s="99">
        <v>23560</v>
      </c>
      <c r="I574" s="100">
        <v>3</v>
      </c>
    </row>
    <row r="575" spans="1:9" ht="13.5" x14ac:dyDescent="0.25">
      <c r="A575" s="94" t="s">
        <v>767</v>
      </c>
      <c r="B575" s="95" t="s">
        <v>280</v>
      </c>
      <c r="C575" s="94" t="s">
        <v>767</v>
      </c>
      <c r="D575" s="94" t="s">
        <v>256</v>
      </c>
      <c r="E575" s="96">
        <v>36538</v>
      </c>
      <c r="F575" s="97">
        <f t="shared" ca="1" si="19"/>
        <v>16</v>
      </c>
      <c r="G575" s="98" t="s">
        <v>262</v>
      </c>
      <c r="H575" s="99">
        <v>76910</v>
      </c>
      <c r="I575" s="100">
        <v>2</v>
      </c>
    </row>
    <row r="576" spans="1:9" ht="13.5" x14ac:dyDescent="0.25">
      <c r="A576" s="94" t="s">
        <v>767</v>
      </c>
      <c r="B576" s="95" t="s">
        <v>285</v>
      </c>
      <c r="C576" s="94" t="s">
        <v>767</v>
      </c>
      <c r="D576" s="94" t="s">
        <v>261</v>
      </c>
      <c r="E576" s="96">
        <v>36863</v>
      </c>
      <c r="F576" s="97">
        <f t="shared" ca="1" si="19"/>
        <v>15</v>
      </c>
      <c r="G576" s="98" t="s">
        <v>283</v>
      </c>
      <c r="H576" s="99">
        <v>32900</v>
      </c>
      <c r="I576" s="100">
        <v>2</v>
      </c>
    </row>
    <row r="577" spans="1:9" ht="13.5" x14ac:dyDescent="0.25">
      <c r="A577" s="94" t="s">
        <v>767</v>
      </c>
      <c r="B577" s="95" t="s">
        <v>266</v>
      </c>
      <c r="C577" s="94" t="s">
        <v>767</v>
      </c>
      <c r="D577" s="94" t="s">
        <v>256</v>
      </c>
      <c r="E577" s="96">
        <v>37113</v>
      </c>
      <c r="F577" s="97">
        <f t="shared" ca="1" si="19"/>
        <v>15</v>
      </c>
      <c r="G577" s="98" t="s">
        <v>276</v>
      </c>
      <c r="H577" s="99">
        <v>61330</v>
      </c>
      <c r="I577" s="100">
        <v>2</v>
      </c>
    </row>
    <row r="578" spans="1:9" ht="13.5" x14ac:dyDescent="0.25">
      <c r="A578" s="94" t="s">
        <v>767</v>
      </c>
      <c r="B578" s="95" t="s">
        <v>266</v>
      </c>
      <c r="C578" s="94" t="s">
        <v>767</v>
      </c>
      <c r="D578" s="94" t="s">
        <v>261</v>
      </c>
      <c r="E578" s="96">
        <v>37413</v>
      </c>
      <c r="F578" s="97">
        <f t="shared" ca="1" si="19"/>
        <v>14</v>
      </c>
      <c r="G578" s="98" t="s">
        <v>283</v>
      </c>
      <c r="H578" s="99">
        <v>10630</v>
      </c>
      <c r="I578" s="100">
        <v>3</v>
      </c>
    </row>
    <row r="579" spans="1:9" ht="13.5" x14ac:dyDescent="0.25">
      <c r="A579" s="94" t="s">
        <v>767</v>
      </c>
      <c r="B579" s="95" t="s">
        <v>266</v>
      </c>
      <c r="C579" s="94" t="s">
        <v>767</v>
      </c>
      <c r="D579" s="94" t="s">
        <v>256</v>
      </c>
      <c r="E579" s="96">
        <v>37480</v>
      </c>
      <c r="F579" s="97">
        <f t="shared" ca="1" si="19"/>
        <v>14</v>
      </c>
      <c r="G579" s="98" t="s">
        <v>262</v>
      </c>
      <c r="H579" s="99">
        <v>62688</v>
      </c>
      <c r="I579" s="100">
        <v>3</v>
      </c>
    </row>
    <row r="580" spans="1:9" ht="13.5" x14ac:dyDescent="0.25">
      <c r="A580" s="94" t="s">
        <v>767</v>
      </c>
      <c r="B580" s="95" t="s">
        <v>271</v>
      </c>
      <c r="C580" s="94" t="s">
        <v>767</v>
      </c>
      <c r="D580" s="94" t="s">
        <v>256</v>
      </c>
      <c r="E580" s="96">
        <v>37737</v>
      </c>
      <c r="F580" s="97">
        <f t="shared" ca="1" si="19"/>
        <v>13</v>
      </c>
      <c r="G580" s="98" t="s">
        <v>283</v>
      </c>
      <c r="H580" s="99">
        <v>65880</v>
      </c>
      <c r="I580" s="100">
        <v>5</v>
      </c>
    </row>
    <row r="581" spans="1:9" ht="13.5" x14ac:dyDescent="0.25">
      <c r="A581" s="94" t="s">
        <v>767</v>
      </c>
      <c r="B581" s="95" t="s">
        <v>271</v>
      </c>
      <c r="C581" s="94" t="s">
        <v>767</v>
      </c>
      <c r="D581" s="94" t="s">
        <v>256</v>
      </c>
      <c r="E581" s="96">
        <v>37737</v>
      </c>
      <c r="F581" s="97">
        <f t="shared" ca="1" si="19"/>
        <v>13</v>
      </c>
      <c r="G581" s="98" t="s">
        <v>283</v>
      </c>
      <c r="H581" s="99">
        <v>65880</v>
      </c>
      <c r="I581" s="100">
        <v>5</v>
      </c>
    </row>
    <row r="582" spans="1:9" ht="13.5" x14ac:dyDescent="0.25">
      <c r="A582" s="94" t="s">
        <v>767</v>
      </c>
      <c r="B582" s="95" t="s">
        <v>266</v>
      </c>
      <c r="C582" s="94" t="s">
        <v>767</v>
      </c>
      <c r="D582" s="94" t="s">
        <v>256</v>
      </c>
      <c r="E582" s="96">
        <v>37907</v>
      </c>
      <c r="F582" s="97">
        <f t="shared" ca="1" si="19"/>
        <v>13</v>
      </c>
      <c r="G582" s="98" t="s">
        <v>257</v>
      </c>
      <c r="H582" s="99">
        <v>73830</v>
      </c>
      <c r="I582" s="100">
        <v>2</v>
      </c>
    </row>
    <row r="583" spans="1:9" ht="13.5" x14ac:dyDescent="0.25">
      <c r="A583" s="94" t="s">
        <v>767</v>
      </c>
      <c r="B583" s="95" t="s">
        <v>285</v>
      </c>
      <c r="C583" s="94" t="s">
        <v>767</v>
      </c>
      <c r="D583" s="94" t="s">
        <v>256</v>
      </c>
      <c r="E583" s="96">
        <v>38052</v>
      </c>
      <c r="F583" s="97">
        <f t="shared" ca="1" si="19"/>
        <v>12</v>
      </c>
      <c r="G583" s="98" t="s">
        <v>262</v>
      </c>
      <c r="H583" s="99">
        <v>42020</v>
      </c>
      <c r="I583" s="100">
        <v>5</v>
      </c>
    </row>
    <row r="584" spans="1:9" ht="13.5" x14ac:dyDescent="0.25">
      <c r="A584" s="94" t="s">
        <v>767</v>
      </c>
      <c r="B584" s="95" t="s">
        <v>285</v>
      </c>
      <c r="C584" s="94" t="s">
        <v>767</v>
      </c>
      <c r="D584" s="94" t="s">
        <v>256</v>
      </c>
      <c r="E584" s="96">
        <v>38136</v>
      </c>
      <c r="F584" s="97">
        <f t="shared" ca="1" si="19"/>
        <v>12</v>
      </c>
      <c r="G584" s="98" t="s">
        <v>257</v>
      </c>
      <c r="H584" s="99">
        <v>44650</v>
      </c>
      <c r="I584" s="100">
        <v>1</v>
      </c>
    </row>
    <row r="585" spans="1:9" ht="13.5" x14ac:dyDescent="0.25">
      <c r="A585" s="94" t="s">
        <v>767</v>
      </c>
      <c r="B585" s="95" t="s">
        <v>280</v>
      </c>
      <c r="C585" s="94" t="s">
        <v>767</v>
      </c>
      <c r="D585" s="94" t="s">
        <v>261</v>
      </c>
      <c r="E585" s="96">
        <v>38418</v>
      </c>
      <c r="F585" s="97">
        <f t="shared" ca="1" si="19"/>
        <v>11</v>
      </c>
      <c r="G585" s="98" t="s">
        <v>257</v>
      </c>
      <c r="H585" s="99">
        <v>45565</v>
      </c>
      <c r="I585" s="100">
        <v>1</v>
      </c>
    </row>
    <row r="586" spans="1:9" ht="13.5" x14ac:dyDescent="0.25">
      <c r="A586" s="94" t="s">
        <v>767</v>
      </c>
      <c r="B586" s="95" t="s">
        <v>285</v>
      </c>
      <c r="C586" s="94" t="s">
        <v>767</v>
      </c>
      <c r="D586" s="94" t="s">
        <v>256</v>
      </c>
      <c r="E586" s="96">
        <v>38554</v>
      </c>
      <c r="F586" s="97">
        <f t="shared" ca="1" si="19"/>
        <v>11</v>
      </c>
      <c r="G586" s="98" t="s">
        <v>257</v>
      </c>
      <c r="H586" s="99">
        <v>64320</v>
      </c>
      <c r="I586" s="100">
        <v>5</v>
      </c>
    </row>
    <row r="587" spans="1:9" ht="13.5" x14ac:dyDescent="0.25">
      <c r="A587" s="94" t="s">
        <v>767</v>
      </c>
      <c r="B587" s="95" t="s">
        <v>245</v>
      </c>
      <c r="C587" s="94" t="s">
        <v>767</v>
      </c>
      <c r="D587" s="94" t="s">
        <v>256</v>
      </c>
      <c r="E587" s="96">
        <v>38589</v>
      </c>
      <c r="F587" s="97">
        <f t="shared" ca="1" si="19"/>
        <v>11</v>
      </c>
      <c r="G587" s="98" t="s">
        <v>257</v>
      </c>
      <c r="H587" s="99">
        <v>24790</v>
      </c>
      <c r="I587" s="100">
        <v>3</v>
      </c>
    </row>
    <row r="588" spans="1:9" ht="13.5" x14ac:dyDescent="0.25">
      <c r="A588" s="94" t="s">
        <v>767</v>
      </c>
      <c r="B588" s="95" t="s">
        <v>271</v>
      </c>
      <c r="C588" s="94" t="s">
        <v>767</v>
      </c>
      <c r="D588" s="94" t="s">
        <v>256</v>
      </c>
      <c r="E588" s="96">
        <v>38827</v>
      </c>
      <c r="F588" s="97">
        <f t="shared" ca="1" si="19"/>
        <v>10</v>
      </c>
      <c r="G588" s="98" t="s">
        <v>257</v>
      </c>
      <c r="H588" s="99">
        <v>54190</v>
      </c>
      <c r="I588" s="100">
        <v>4</v>
      </c>
    </row>
    <row r="589" spans="1:9" ht="13.5" x14ac:dyDescent="0.25">
      <c r="A589" s="94" t="s">
        <v>767</v>
      </c>
      <c r="B589" s="95" t="s">
        <v>271</v>
      </c>
      <c r="C589" s="94" t="s">
        <v>767</v>
      </c>
      <c r="D589" s="94" t="s">
        <v>261</v>
      </c>
      <c r="E589" s="96">
        <v>38856</v>
      </c>
      <c r="F589" s="97">
        <f t="shared" ca="1" si="19"/>
        <v>10</v>
      </c>
      <c r="G589" s="98" t="s">
        <v>276</v>
      </c>
      <c r="H589" s="99">
        <v>25245</v>
      </c>
      <c r="I589" s="100">
        <v>5</v>
      </c>
    </row>
    <row r="590" spans="1:9" ht="13.5" x14ac:dyDescent="0.25">
      <c r="A590" s="94" t="s">
        <v>767</v>
      </c>
      <c r="B590" s="95" t="s">
        <v>251</v>
      </c>
      <c r="C590" s="94" t="s">
        <v>767</v>
      </c>
      <c r="D590" s="94" t="s">
        <v>261</v>
      </c>
      <c r="E590" s="102">
        <v>38944</v>
      </c>
      <c r="F590" s="97">
        <f t="shared" ca="1" si="19"/>
        <v>10</v>
      </c>
      <c r="G590" s="98" t="s">
        <v>283</v>
      </c>
      <c r="H590" s="99">
        <v>48700</v>
      </c>
      <c r="I590" s="100">
        <v>3</v>
      </c>
    </row>
    <row r="591" spans="1:9" ht="13.5" x14ac:dyDescent="0.25">
      <c r="A591" s="94" t="s">
        <v>767</v>
      </c>
      <c r="B591" s="95" t="s">
        <v>266</v>
      </c>
      <c r="C591" s="94" t="s">
        <v>767</v>
      </c>
      <c r="D591" s="94" t="s">
        <v>261</v>
      </c>
      <c r="E591" s="96">
        <v>38983</v>
      </c>
      <c r="F591" s="97">
        <f t="shared" ca="1" si="19"/>
        <v>10</v>
      </c>
      <c r="G591" s="98" t="s">
        <v>257</v>
      </c>
      <c r="H591" s="99">
        <v>11810</v>
      </c>
      <c r="I591" s="100">
        <v>1</v>
      </c>
    </row>
    <row r="592" spans="1:9" ht="13.5" x14ac:dyDescent="0.25">
      <c r="A592" s="94" t="s">
        <v>767</v>
      </c>
      <c r="B592" s="95" t="s">
        <v>271</v>
      </c>
      <c r="C592" s="94" t="s">
        <v>767</v>
      </c>
      <c r="D592" s="94" t="s">
        <v>247</v>
      </c>
      <c r="E592" s="102">
        <v>39094</v>
      </c>
      <c r="F592" s="97">
        <f t="shared" ca="1" si="19"/>
        <v>9</v>
      </c>
      <c r="G592" s="98"/>
      <c r="H592" s="99">
        <v>39550</v>
      </c>
      <c r="I592" s="100">
        <v>5</v>
      </c>
    </row>
    <row r="593" spans="1:9" ht="13.5" x14ac:dyDescent="0.25">
      <c r="A593" s="94" t="s">
        <v>767</v>
      </c>
      <c r="B593" s="95" t="s">
        <v>245</v>
      </c>
      <c r="C593" s="94" t="s">
        <v>767</v>
      </c>
      <c r="D593" s="94" t="s">
        <v>247</v>
      </c>
      <c r="E593" s="102">
        <v>39100</v>
      </c>
      <c r="F593" s="97">
        <f t="shared" ca="1" si="19"/>
        <v>9</v>
      </c>
      <c r="G593" s="98"/>
      <c r="H593" s="99">
        <v>57680</v>
      </c>
      <c r="I593" s="100">
        <v>4</v>
      </c>
    </row>
    <row r="594" spans="1:9" ht="13.5" x14ac:dyDescent="0.25">
      <c r="A594" s="94" t="s">
        <v>767</v>
      </c>
      <c r="B594" s="95" t="s">
        <v>245</v>
      </c>
      <c r="C594" s="94" t="s">
        <v>767</v>
      </c>
      <c r="D594" s="94" t="s">
        <v>261</v>
      </c>
      <c r="E594" s="102">
        <v>39111</v>
      </c>
      <c r="F594" s="97">
        <f t="shared" ca="1" si="19"/>
        <v>9</v>
      </c>
      <c r="G594" s="98" t="s">
        <v>262</v>
      </c>
      <c r="H594" s="99">
        <v>49355</v>
      </c>
      <c r="I594" s="100">
        <v>5</v>
      </c>
    </row>
    <row r="595" spans="1:9" ht="13.5" x14ac:dyDescent="0.25">
      <c r="A595" s="94" t="s">
        <v>767</v>
      </c>
      <c r="B595" s="95" t="s">
        <v>285</v>
      </c>
      <c r="C595" s="94" t="s">
        <v>767</v>
      </c>
      <c r="D595" s="94" t="s">
        <v>256</v>
      </c>
      <c r="E595" s="96">
        <v>39128</v>
      </c>
      <c r="F595" s="97">
        <f t="shared" ca="1" si="19"/>
        <v>9</v>
      </c>
      <c r="G595" s="98" t="s">
        <v>267</v>
      </c>
      <c r="H595" s="99">
        <v>59150</v>
      </c>
      <c r="I595" s="100">
        <v>4</v>
      </c>
    </row>
    <row r="596" spans="1:9" ht="13.5" x14ac:dyDescent="0.25">
      <c r="A596" s="94" t="s">
        <v>767</v>
      </c>
      <c r="B596" s="95" t="s">
        <v>285</v>
      </c>
      <c r="C596" s="94" t="s">
        <v>767</v>
      </c>
      <c r="D596" s="94" t="s">
        <v>256</v>
      </c>
      <c r="E596" s="96">
        <v>39167</v>
      </c>
      <c r="F596" s="97">
        <f t="shared" ca="1" si="19"/>
        <v>9</v>
      </c>
      <c r="G596" s="98" t="s">
        <v>267</v>
      </c>
      <c r="H596" s="99">
        <v>63206</v>
      </c>
      <c r="I596" s="100">
        <v>1</v>
      </c>
    </row>
    <row r="597" spans="1:9" ht="13.5" x14ac:dyDescent="0.25">
      <c r="A597" s="94" t="s">
        <v>767</v>
      </c>
      <c r="B597" s="95" t="s">
        <v>271</v>
      </c>
      <c r="C597" s="94" t="s">
        <v>767</v>
      </c>
      <c r="D597" s="94" t="s">
        <v>256</v>
      </c>
      <c r="E597" s="96">
        <v>39314</v>
      </c>
      <c r="F597" s="97">
        <f t="shared" ca="1" si="19"/>
        <v>9</v>
      </c>
      <c r="G597" s="98" t="s">
        <v>276</v>
      </c>
      <c r="H597" s="99">
        <v>86500</v>
      </c>
      <c r="I597" s="100">
        <v>1</v>
      </c>
    </row>
    <row r="598" spans="1:9" ht="13.5" x14ac:dyDescent="0.25">
      <c r="A598" s="101" t="s">
        <v>1054</v>
      </c>
      <c r="B598" s="95"/>
      <c r="C598" s="101"/>
      <c r="D598" s="94"/>
      <c r="E598" s="96"/>
      <c r="F598" s="97"/>
      <c r="G598" s="98"/>
      <c r="H598" s="99"/>
      <c r="I598" s="100"/>
    </row>
    <row r="599" spans="1:9" ht="13.5" x14ac:dyDescent="0.25">
      <c r="A599" s="94" t="s">
        <v>856</v>
      </c>
      <c r="B599" s="95" t="s">
        <v>285</v>
      </c>
      <c r="C599" s="94" t="s">
        <v>856</v>
      </c>
      <c r="D599" s="94" t="s">
        <v>256</v>
      </c>
      <c r="E599" s="96">
        <v>31912</v>
      </c>
      <c r="F599" s="97">
        <f t="shared" ref="F599:F662" ca="1" si="20">DATEDIF(E599,TODAY(),"Y")</f>
        <v>29</v>
      </c>
      <c r="G599" s="98" t="s">
        <v>257</v>
      </c>
      <c r="H599" s="99">
        <v>53900</v>
      </c>
      <c r="I599" s="100">
        <v>5</v>
      </c>
    </row>
    <row r="600" spans="1:9" ht="13.5" x14ac:dyDescent="0.25">
      <c r="A600" s="94" t="s">
        <v>856</v>
      </c>
      <c r="B600" s="95" t="s">
        <v>245</v>
      </c>
      <c r="C600" s="94" t="s">
        <v>856</v>
      </c>
      <c r="D600" s="94" t="s">
        <v>252</v>
      </c>
      <c r="E600" s="96">
        <v>31946</v>
      </c>
      <c r="F600" s="97">
        <f t="shared" ca="1" si="20"/>
        <v>29</v>
      </c>
      <c r="G600" s="98"/>
      <c r="H600" s="99">
        <v>30468</v>
      </c>
      <c r="I600" s="100">
        <v>2</v>
      </c>
    </row>
    <row r="601" spans="1:9" ht="13.5" x14ac:dyDescent="0.25">
      <c r="A601" s="94" t="s">
        <v>856</v>
      </c>
      <c r="B601" s="95" t="s">
        <v>285</v>
      </c>
      <c r="C601" s="94" t="s">
        <v>856</v>
      </c>
      <c r="D601" s="94" t="s">
        <v>256</v>
      </c>
      <c r="E601" s="96">
        <v>31959</v>
      </c>
      <c r="F601" s="97">
        <f t="shared" ca="1" si="20"/>
        <v>29</v>
      </c>
      <c r="G601" s="98" t="s">
        <v>283</v>
      </c>
      <c r="H601" s="99">
        <v>24840</v>
      </c>
      <c r="I601" s="100">
        <v>1</v>
      </c>
    </row>
    <row r="602" spans="1:9" ht="13.5" x14ac:dyDescent="0.25">
      <c r="A602" s="94" t="s">
        <v>856</v>
      </c>
      <c r="B602" s="95" t="s">
        <v>251</v>
      </c>
      <c r="C602" s="94" t="s">
        <v>856</v>
      </c>
      <c r="D602" s="94" t="s">
        <v>247</v>
      </c>
      <c r="E602" s="96">
        <v>31972</v>
      </c>
      <c r="F602" s="97">
        <f t="shared" ca="1" si="20"/>
        <v>29</v>
      </c>
      <c r="G602" s="98"/>
      <c r="H602" s="99">
        <v>89450</v>
      </c>
      <c r="I602" s="100">
        <v>2</v>
      </c>
    </row>
    <row r="603" spans="1:9" ht="13.5" x14ac:dyDescent="0.25">
      <c r="A603" s="94" t="s">
        <v>856</v>
      </c>
      <c r="B603" s="95" t="s">
        <v>271</v>
      </c>
      <c r="C603" s="94" t="s">
        <v>856</v>
      </c>
      <c r="D603" s="94" t="s">
        <v>247</v>
      </c>
      <c r="E603" s="96">
        <v>32111</v>
      </c>
      <c r="F603" s="97">
        <f t="shared" ca="1" si="20"/>
        <v>28</v>
      </c>
      <c r="G603" s="98"/>
      <c r="H603" s="99">
        <v>46650</v>
      </c>
      <c r="I603" s="100">
        <v>2</v>
      </c>
    </row>
    <row r="604" spans="1:9" ht="13.5" x14ac:dyDescent="0.25">
      <c r="A604" s="94" t="s">
        <v>856</v>
      </c>
      <c r="B604" s="95" t="s">
        <v>251</v>
      </c>
      <c r="C604" s="94" t="s">
        <v>856</v>
      </c>
      <c r="D604" s="94" t="s">
        <v>256</v>
      </c>
      <c r="E604" s="96">
        <v>32144</v>
      </c>
      <c r="F604" s="97">
        <f t="shared" ca="1" si="20"/>
        <v>28</v>
      </c>
      <c r="G604" s="98" t="s">
        <v>257</v>
      </c>
      <c r="H604" s="99">
        <v>67920</v>
      </c>
      <c r="I604" s="100">
        <v>4</v>
      </c>
    </row>
    <row r="605" spans="1:9" ht="13.5" x14ac:dyDescent="0.25">
      <c r="A605" s="94" t="s">
        <v>856</v>
      </c>
      <c r="B605" s="95" t="s">
        <v>266</v>
      </c>
      <c r="C605" s="94" t="s">
        <v>856</v>
      </c>
      <c r="D605" s="94" t="s">
        <v>256</v>
      </c>
      <c r="E605" s="96">
        <v>32238</v>
      </c>
      <c r="F605" s="97">
        <f t="shared" ca="1" si="20"/>
        <v>28</v>
      </c>
      <c r="G605" s="98" t="s">
        <v>283</v>
      </c>
      <c r="H605" s="99">
        <v>63050</v>
      </c>
      <c r="I605" s="100">
        <v>3</v>
      </c>
    </row>
    <row r="606" spans="1:9" ht="13.5" x14ac:dyDescent="0.25">
      <c r="A606" s="94" t="s">
        <v>856</v>
      </c>
      <c r="B606" s="95" t="s">
        <v>285</v>
      </c>
      <c r="C606" s="94" t="s">
        <v>856</v>
      </c>
      <c r="D606" s="94" t="s">
        <v>256</v>
      </c>
      <c r="E606" s="96">
        <v>32294</v>
      </c>
      <c r="F606" s="97">
        <f t="shared" ca="1" si="20"/>
        <v>28</v>
      </c>
      <c r="G606" s="98" t="s">
        <v>257</v>
      </c>
      <c r="H606" s="99">
        <v>54830</v>
      </c>
      <c r="I606" s="100">
        <v>1</v>
      </c>
    </row>
    <row r="607" spans="1:9" ht="13.5" x14ac:dyDescent="0.25">
      <c r="A607" s="94" t="s">
        <v>856</v>
      </c>
      <c r="B607" s="95" t="s">
        <v>285</v>
      </c>
      <c r="C607" s="94" t="s">
        <v>856</v>
      </c>
      <c r="D607" s="94" t="s">
        <v>256</v>
      </c>
      <c r="E607" s="96">
        <v>32375</v>
      </c>
      <c r="F607" s="97">
        <f t="shared" ca="1" si="20"/>
        <v>28</v>
      </c>
      <c r="G607" s="98" t="s">
        <v>257</v>
      </c>
      <c r="H607" s="99">
        <v>65571</v>
      </c>
      <c r="I607" s="100">
        <v>3</v>
      </c>
    </row>
    <row r="608" spans="1:9" ht="13.5" x14ac:dyDescent="0.25">
      <c r="A608" s="94" t="s">
        <v>856</v>
      </c>
      <c r="B608" s="95" t="s">
        <v>285</v>
      </c>
      <c r="C608" s="94" t="s">
        <v>856</v>
      </c>
      <c r="D608" s="94" t="s">
        <v>256</v>
      </c>
      <c r="E608" s="96">
        <v>32401</v>
      </c>
      <c r="F608" s="97">
        <f t="shared" ca="1" si="20"/>
        <v>28</v>
      </c>
      <c r="G608" s="98" t="s">
        <v>257</v>
      </c>
      <c r="H608" s="99">
        <v>68470</v>
      </c>
      <c r="I608" s="100">
        <v>4</v>
      </c>
    </row>
    <row r="609" spans="1:9" ht="13.5" x14ac:dyDescent="0.25">
      <c r="A609" s="94" t="s">
        <v>856</v>
      </c>
      <c r="B609" s="95" t="s">
        <v>271</v>
      </c>
      <c r="C609" s="94" t="s">
        <v>856</v>
      </c>
      <c r="D609" s="94" t="s">
        <v>256</v>
      </c>
      <c r="E609" s="96">
        <v>32542</v>
      </c>
      <c r="F609" s="97">
        <f t="shared" ca="1" si="20"/>
        <v>27</v>
      </c>
      <c r="G609" s="98" t="s">
        <v>276</v>
      </c>
      <c r="H609" s="99">
        <v>86240</v>
      </c>
      <c r="I609" s="100">
        <v>1</v>
      </c>
    </row>
    <row r="610" spans="1:9" ht="13.5" x14ac:dyDescent="0.25">
      <c r="A610" s="94" t="s">
        <v>856</v>
      </c>
      <c r="B610" s="95" t="s">
        <v>266</v>
      </c>
      <c r="C610" s="94" t="s">
        <v>856</v>
      </c>
      <c r="D610" s="94" t="s">
        <v>261</v>
      </c>
      <c r="E610" s="96">
        <v>32580</v>
      </c>
      <c r="F610" s="97">
        <f t="shared" ca="1" si="20"/>
        <v>27</v>
      </c>
      <c r="G610" s="98" t="s">
        <v>283</v>
      </c>
      <c r="H610" s="99">
        <v>25885</v>
      </c>
      <c r="I610" s="100">
        <v>5</v>
      </c>
    </row>
    <row r="611" spans="1:9" ht="13.5" x14ac:dyDescent="0.25">
      <c r="A611" s="94" t="s">
        <v>856</v>
      </c>
      <c r="B611" s="95" t="s">
        <v>285</v>
      </c>
      <c r="C611" s="94" t="s">
        <v>856</v>
      </c>
      <c r="D611" s="94" t="s">
        <v>247</v>
      </c>
      <c r="E611" s="96">
        <v>32604</v>
      </c>
      <c r="F611" s="97">
        <f t="shared" ca="1" si="20"/>
        <v>27</v>
      </c>
      <c r="G611" s="98"/>
      <c r="H611" s="99">
        <v>55690</v>
      </c>
      <c r="I611" s="100">
        <v>2</v>
      </c>
    </row>
    <row r="612" spans="1:9" ht="13.5" x14ac:dyDescent="0.25">
      <c r="A612" s="94" t="s">
        <v>856</v>
      </c>
      <c r="B612" s="95" t="s">
        <v>245</v>
      </c>
      <c r="C612" s="94" t="s">
        <v>856</v>
      </c>
      <c r="D612" s="94" t="s">
        <v>256</v>
      </c>
      <c r="E612" s="96">
        <v>32700</v>
      </c>
      <c r="F612" s="97">
        <f t="shared" ca="1" si="20"/>
        <v>27</v>
      </c>
      <c r="G612" s="98" t="s">
        <v>257</v>
      </c>
      <c r="H612" s="99">
        <v>54270</v>
      </c>
      <c r="I612" s="100">
        <v>3</v>
      </c>
    </row>
    <row r="613" spans="1:9" ht="13.5" x14ac:dyDescent="0.25">
      <c r="A613" s="94" t="s">
        <v>856</v>
      </c>
      <c r="B613" s="95" t="s">
        <v>251</v>
      </c>
      <c r="C613" s="94" t="s">
        <v>856</v>
      </c>
      <c r="D613" s="94" t="s">
        <v>256</v>
      </c>
      <c r="E613" s="96">
        <v>32711</v>
      </c>
      <c r="F613" s="97">
        <f t="shared" ca="1" si="20"/>
        <v>27</v>
      </c>
      <c r="G613" s="98" t="s">
        <v>283</v>
      </c>
      <c r="H613" s="99">
        <v>45110</v>
      </c>
      <c r="I613" s="100">
        <v>2</v>
      </c>
    </row>
    <row r="614" spans="1:9" ht="13.5" x14ac:dyDescent="0.25">
      <c r="A614" s="94" t="s">
        <v>856</v>
      </c>
      <c r="B614" s="95" t="s">
        <v>271</v>
      </c>
      <c r="C614" s="94" t="s">
        <v>856</v>
      </c>
      <c r="D614" s="94" t="s">
        <v>256</v>
      </c>
      <c r="E614" s="96">
        <v>32718</v>
      </c>
      <c r="F614" s="97">
        <f t="shared" ca="1" si="20"/>
        <v>27</v>
      </c>
      <c r="G614" s="98" t="s">
        <v>283</v>
      </c>
      <c r="H614" s="99">
        <v>66824</v>
      </c>
      <c r="I614" s="100">
        <v>2</v>
      </c>
    </row>
    <row r="615" spans="1:9" ht="13.5" x14ac:dyDescent="0.25">
      <c r="A615" s="94" t="s">
        <v>856</v>
      </c>
      <c r="B615" s="95" t="s">
        <v>285</v>
      </c>
      <c r="C615" s="94" t="s">
        <v>856</v>
      </c>
      <c r="D615" s="94" t="s">
        <v>256</v>
      </c>
      <c r="E615" s="96">
        <v>32850</v>
      </c>
      <c r="F615" s="97">
        <f t="shared" ca="1" si="20"/>
        <v>26</v>
      </c>
      <c r="G615" s="98" t="s">
        <v>257</v>
      </c>
      <c r="H615" s="99">
        <v>54200</v>
      </c>
      <c r="I615" s="100">
        <v>4</v>
      </c>
    </row>
    <row r="616" spans="1:9" ht="13.5" x14ac:dyDescent="0.25">
      <c r="A616" s="94" t="s">
        <v>856</v>
      </c>
      <c r="B616" s="95" t="s">
        <v>271</v>
      </c>
      <c r="C616" s="94" t="s">
        <v>856</v>
      </c>
      <c r="D616" s="94" t="s">
        <v>252</v>
      </c>
      <c r="E616" s="96">
        <v>32870</v>
      </c>
      <c r="F616" s="97">
        <f t="shared" ca="1" si="20"/>
        <v>26</v>
      </c>
      <c r="G616" s="98"/>
      <c r="H616" s="99">
        <v>26484</v>
      </c>
      <c r="I616" s="100">
        <v>5</v>
      </c>
    </row>
    <row r="617" spans="1:9" ht="13.5" x14ac:dyDescent="0.25">
      <c r="A617" s="94" t="s">
        <v>856</v>
      </c>
      <c r="B617" s="95" t="s">
        <v>271</v>
      </c>
      <c r="C617" s="94" t="s">
        <v>856</v>
      </c>
      <c r="D617" s="94" t="s">
        <v>256</v>
      </c>
      <c r="E617" s="96">
        <v>32975</v>
      </c>
      <c r="F617" s="97">
        <f t="shared" ca="1" si="20"/>
        <v>26</v>
      </c>
      <c r="G617" s="98" t="s">
        <v>267</v>
      </c>
      <c r="H617" s="99">
        <v>48490</v>
      </c>
      <c r="I617" s="100">
        <v>2</v>
      </c>
    </row>
    <row r="618" spans="1:9" ht="13.5" x14ac:dyDescent="0.25">
      <c r="A618" s="94" t="s">
        <v>856</v>
      </c>
      <c r="B618" s="95" t="s">
        <v>271</v>
      </c>
      <c r="C618" s="94" t="s">
        <v>856</v>
      </c>
      <c r="D618" s="94" t="s">
        <v>252</v>
      </c>
      <c r="E618" s="96">
        <v>33035</v>
      </c>
      <c r="F618" s="97">
        <f t="shared" ca="1" si="20"/>
        <v>26</v>
      </c>
      <c r="G618" s="98"/>
      <c r="H618" s="99">
        <v>36788</v>
      </c>
      <c r="I618" s="100">
        <v>4</v>
      </c>
    </row>
    <row r="619" spans="1:9" ht="13.5" x14ac:dyDescent="0.25">
      <c r="A619" s="94" t="s">
        <v>856</v>
      </c>
      <c r="B619" s="95" t="s">
        <v>271</v>
      </c>
      <c r="C619" s="94" t="s">
        <v>856</v>
      </c>
      <c r="D619" s="94" t="s">
        <v>256</v>
      </c>
      <c r="E619" s="96">
        <v>33444</v>
      </c>
      <c r="F619" s="97">
        <f t="shared" ca="1" si="20"/>
        <v>25</v>
      </c>
      <c r="G619" s="98" t="s">
        <v>257</v>
      </c>
      <c r="H619" s="99">
        <v>39000</v>
      </c>
      <c r="I619" s="100">
        <v>5</v>
      </c>
    </row>
    <row r="620" spans="1:9" ht="13.5" x14ac:dyDescent="0.25">
      <c r="A620" s="94" t="s">
        <v>856</v>
      </c>
      <c r="B620" s="95" t="s">
        <v>285</v>
      </c>
      <c r="C620" s="94" t="s">
        <v>856</v>
      </c>
      <c r="D620" s="94" t="s">
        <v>256</v>
      </c>
      <c r="E620" s="96">
        <v>33490</v>
      </c>
      <c r="F620" s="97">
        <f t="shared" ca="1" si="20"/>
        <v>25</v>
      </c>
      <c r="G620" s="98" t="s">
        <v>262</v>
      </c>
      <c r="H620" s="99">
        <v>82700</v>
      </c>
      <c r="I620" s="100">
        <v>3</v>
      </c>
    </row>
    <row r="621" spans="1:9" ht="13.5" x14ac:dyDescent="0.25">
      <c r="A621" s="94" t="s">
        <v>856</v>
      </c>
      <c r="B621" s="95" t="s">
        <v>266</v>
      </c>
      <c r="C621" s="94" t="s">
        <v>856</v>
      </c>
      <c r="D621" s="94" t="s">
        <v>252</v>
      </c>
      <c r="E621" s="96">
        <v>33724</v>
      </c>
      <c r="F621" s="97">
        <f t="shared" ca="1" si="20"/>
        <v>24</v>
      </c>
      <c r="G621" s="98"/>
      <c r="H621" s="99">
        <v>23692</v>
      </c>
      <c r="I621" s="100">
        <v>4</v>
      </c>
    </row>
    <row r="622" spans="1:9" ht="13.5" x14ac:dyDescent="0.25">
      <c r="A622" s="94" t="s">
        <v>856</v>
      </c>
      <c r="B622" s="95" t="s">
        <v>271</v>
      </c>
      <c r="C622" s="94" t="s">
        <v>856</v>
      </c>
      <c r="D622" s="94" t="s">
        <v>256</v>
      </c>
      <c r="E622" s="96">
        <v>34046</v>
      </c>
      <c r="F622" s="97">
        <f t="shared" ca="1" si="20"/>
        <v>23</v>
      </c>
      <c r="G622" s="98" t="s">
        <v>262</v>
      </c>
      <c r="H622" s="99">
        <v>63030</v>
      </c>
      <c r="I622" s="100">
        <v>1</v>
      </c>
    </row>
    <row r="623" spans="1:9" ht="13.5" x14ac:dyDescent="0.25">
      <c r="A623" s="94" t="s">
        <v>856</v>
      </c>
      <c r="B623" s="95" t="s">
        <v>271</v>
      </c>
      <c r="C623" s="94" t="s">
        <v>856</v>
      </c>
      <c r="D623" s="94" t="s">
        <v>256</v>
      </c>
      <c r="E623" s="96">
        <v>34063</v>
      </c>
      <c r="F623" s="97">
        <f t="shared" ca="1" si="20"/>
        <v>23</v>
      </c>
      <c r="G623" s="98" t="s">
        <v>283</v>
      </c>
      <c r="H623" s="99">
        <v>66440</v>
      </c>
      <c r="I623" s="100">
        <v>3</v>
      </c>
    </row>
    <row r="624" spans="1:9" ht="13.5" x14ac:dyDescent="0.25">
      <c r="A624" s="94" t="s">
        <v>856</v>
      </c>
      <c r="B624" s="95" t="s">
        <v>271</v>
      </c>
      <c r="C624" s="94" t="s">
        <v>856</v>
      </c>
      <c r="D624" s="94" t="s">
        <v>252</v>
      </c>
      <c r="E624" s="96">
        <v>34092</v>
      </c>
      <c r="F624" s="97">
        <f t="shared" ca="1" si="20"/>
        <v>23</v>
      </c>
      <c r="G624" s="98"/>
      <c r="H624" s="99">
        <v>33508</v>
      </c>
      <c r="I624" s="100">
        <v>4</v>
      </c>
    </row>
    <row r="625" spans="1:9" ht="13.5" x14ac:dyDescent="0.25">
      <c r="A625" s="94" t="s">
        <v>856</v>
      </c>
      <c r="B625" s="95" t="s">
        <v>285</v>
      </c>
      <c r="C625" s="94" t="s">
        <v>856</v>
      </c>
      <c r="D625" s="94" t="s">
        <v>256</v>
      </c>
      <c r="E625" s="96">
        <v>34098</v>
      </c>
      <c r="F625" s="97">
        <f t="shared" ca="1" si="20"/>
        <v>23</v>
      </c>
      <c r="G625" s="98" t="s">
        <v>283</v>
      </c>
      <c r="H625" s="99">
        <v>34330</v>
      </c>
      <c r="I625" s="100">
        <v>3</v>
      </c>
    </row>
    <row r="626" spans="1:9" ht="13.5" x14ac:dyDescent="0.25">
      <c r="A626" s="94" t="s">
        <v>856</v>
      </c>
      <c r="B626" s="95" t="s">
        <v>285</v>
      </c>
      <c r="C626" s="94" t="s">
        <v>856</v>
      </c>
      <c r="D626" s="94" t="s">
        <v>256</v>
      </c>
      <c r="E626" s="96">
        <v>34098</v>
      </c>
      <c r="F626" s="97">
        <f t="shared" ca="1" si="20"/>
        <v>23</v>
      </c>
      <c r="G626" s="98" t="s">
        <v>283</v>
      </c>
      <c r="H626" s="99">
        <v>34330</v>
      </c>
      <c r="I626" s="100">
        <v>3</v>
      </c>
    </row>
    <row r="627" spans="1:9" ht="13.5" x14ac:dyDescent="0.25">
      <c r="A627" s="94" t="s">
        <v>856</v>
      </c>
      <c r="B627" s="95" t="s">
        <v>245</v>
      </c>
      <c r="C627" s="94" t="s">
        <v>856</v>
      </c>
      <c r="D627" s="94" t="s">
        <v>256</v>
      </c>
      <c r="E627" s="96">
        <v>34141</v>
      </c>
      <c r="F627" s="97">
        <f t="shared" ca="1" si="20"/>
        <v>23</v>
      </c>
      <c r="G627" s="98" t="s">
        <v>276</v>
      </c>
      <c r="H627" s="99">
        <v>62965</v>
      </c>
      <c r="I627" s="100">
        <v>1</v>
      </c>
    </row>
    <row r="628" spans="1:9" ht="13.5" x14ac:dyDescent="0.25">
      <c r="A628" s="94" t="s">
        <v>856</v>
      </c>
      <c r="B628" s="95" t="s">
        <v>285</v>
      </c>
      <c r="C628" s="94" t="s">
        <v>856</v>
      </c>
      <c r="D628" s="94" t="s">
        <v>256</v>
      </c>
      <c r="E628" s="96">
        <v>34187</v>
      </c>
      <c r="F628" s="97">
        <f t="shared" ca="1" si="20"/>
        <v>23</v>
      </c>
      <c r="G628" s="98" t="s">
        <v>257</v>
      </c>
      <c r="H628" s="99">
        <v>78710</v>
      </c>
      <c r="I628" s="100">
        <v>4</v>
      </c>
    </row>
    <row r="629" spans="1:9" ht="13.5" x14ac:dyDescent="0.25">
      <c r="A629" s="94" t="s">
        <v>856</v>
      </c>
      <c r="B629" s="95" t="s">
        <v>285</v>
      </c>
      <c r="C629" s="94" t="s">
        <v>856</v>
      </c>
      <c r="D629" s="94" t="s">
        <v>256</v>
      </c>
      <c r="E629" s="96">
        <v>34259</v>
      </c>
      <c r="F629" s="97">
        <f t="shared" ca="1" si="20"/>
        <v>23</v>
      </c>
      <c r="G629" s="98" t="s">
        <v>283</v>
      </c>
      <c r="H629" s="99">
        <v>37770</v>
      </c>
      <c r="I629" s="100">
        <v>5</v>
      </c>
    </row>
    <row r="630" spans="1:9" ht="13.5" x14ac:dyDescent="0.25">
      <c r="A630" s="94" t="s">
        <v>856</v>
      </c>
      <c r="B630" s="95" t="s">
        <v>271</v>
      </c>
      <c r="C630" s="94" t="s">
        <v>856</v>
      </c>
      <c r="D630" s="94" t="s">
        <v>261</v>
      </c>
      <c r="E630" s="96">
        <v>34378</v>
      </c>
      <c r="F630" s="97">
        <f t="shared" ca="1" si="20"/>
        <v>22</v>
      </c>
      <c r="G630" s="98" t="s">
        <v>283</v>
      </c>
      <c r="H630" s="99">
        <v>42740</v>
      </c>
      <c r="I630" s="100">
        <v>2</v>
      </c>
    </row>
    <row r="631" spans="1:9" ht="13.5" x14ac:dyDescent="0.25">
      <c r="A631" s="94" t="s">
        <v>856</v>
      </c>
      <c r="B631" s="95" t="s">
        <v>280</v>
      </c>
      <c r="C631" s="94" t="s">
        <v>856</v>
      </c>
      <c r="D631" s="94" t="s">
        <v>256</v>
      </c>
      <c r="E631" s="96">
        <v>34405</v>
      </c>
      <c r="F631" s="97">
        <f t="shared" ca="1" si="20"/>
        <v>22</v>
      </c>
      <c r="G631" s="98" t="s">
        <v>283</v>
      </c>
      <c r="H631" s="99">
        <v>32120</v>
      </c>
      <c r="I631" s="100">
        <v>1</v>
      </c>
    </row>
    <row r="632" spans="1:9" ht="13.5" x14ac:dyDescent="0.25">
      <c r="A632" s="94" t="s">
        <v>856</v>
      </c>
      <c r="B632" s="95" t="s">
        <v>271</v>
      </c>
      <c r="C632" s="94" t="s">
        <v>856</v>
      </c>
      <c r="D632" s="94" t="s">
        <v>247</v>
      </c>
      <c r="E632" s="96">
        <v>34496</v>
      </c>
      <c r="F632" s="97">
        <f t="shared" ca="1" si="20"/>
        <v>22</v>
      </c>
      <c r="G632" s="98"/>
      <c r="H632" s="99">
        <v>86100</v>
      </c>
      <c r="I632" s="100">
        <v>4</v>
      </c>
    </row>
    <row r="633" spans="1:9" ht="13.5" x14ac:dyDescent="0.25">
      <c r="A633" s="94" t="s">
        <v>856</v>
      </c>
      <c r="B633" s="95" t="s">
        <v>280</v>
      </c>
      <c r="C633" s="94" t="s">
        <v>856</v>
      </c>
      <c r="D633" s="94" t="s">
        <v>261</v>
      </c>
      <c r="E633" s="96">
        <v>34532</v>
      </c>
      <c r="F633" s="97">
        <f t="shared" ca="1" si="20"/>
        <v>22</v>
      </c>
      <c r="G633" s="98" t="s">
        <v>267</v>
      </c>
      <c r="H633" s="99">
        <v>39530</v>
      </c>
      <c r="I633" s="100">
        <v>5</v>
      </c>
    </row>
    <row r="634" spans="1:9" ht="13.5" x14ac:dyDescent="0.25">
      <c r="A634" s="94" t="s">
        <v>856</v>
      </c>
      <c r="B634" s="95" t="s">
        <v>271</v>
      </c>
      <c r="C634" s="94" t="s">
        <v>856</v>
      </c>
      <c r="D634" s="94" t="s">
        <v>252</v>
      </c>
      <c r="E634" s="96">
        <v>34551</v>
      </c>
      <c r="F634" s="97">
        <f t="shared" ca="1" si="20"/>
        <v>22</v>
      </c>
      <c r="G634" s="98"/>
      <c r="H634" s="99">
        <v>12836</v>
      </c>
      <c r="I634" s="100">
        <v>5</v>
      </c>
    </row>
    <row r="635" spans="1:9" ht="13.5" x14ac:dyDescent="0.25">
      <c r="A635" s="94" t="s">
        <v>856</v>
      </c>
      <c r="B635" s="95" t="s">
        <v>245</v>
      </c>
      <c r="C635" s="94" t="s">
        <v>856</v>
      </c>
      <c r="D635" s="94" t="s">
        <v>252</v>
      </c>
      <c r="E635" s="96">
        <v>34559</v>
      </c>
      <c r="F635" s="97">
        <f t="shared" ca="1" si="20"/>
        <v>22</v>
      </c>
      <c r="G635" s="98"/>
      <c r="H635" s="99">
        <v>17912</v>
      </c>
      <c r="I635" s="100">
        <v>5</v>
      </c>
    </row>
    <row r="636" spans="1:9" ht="13.5" x14ac:dyDescent="0.25">
      <c r="A636" s="94" t="s">
        <v>856</v>
      </c>
      <c r="B636" s="95" t="s">
        <v>285</v>
      </c>
      <c r="C636" s="94" t="s">
        <v>856</v>
      </c>
      <c r="D636" s="94" t="s">
        <v>256</v>
      </c>
      <c r="E636" s="96">
        <v>34586</v>
      </c>
      <c r="F636" s="97">
        <f t="shared" ca="1" si="20"/>
        <v>22</v>
      </c>
      <c r="G636" s="98" t="s">
        <v>283</v>
      </c>
      <c r="H636" s="99">
        <v>70280</v>
      </c>
      <c r="I636" s="100">
        <v>3</v>
      </c>
    </row>
    <row r="637" spans="1:9" ht="13.5" x14ac:dyDescent="0.25">
      <c r="A637" s="94" t="s">
        <v>856</v>
      </c>
      <c r="B637" s="95" t="s">
        <v>271</v>
      </c>
      <c r="C637" s="94" t="s">
        <v>856</v>
      </c>
      <c r="D637" s="94" t="s">
        <v>256</v>
      </c>
      <c r="E637" s="96">
        <v>34702</v>
      </c>
      <c r="F637" s="97">
        <f t="shared" ca="1" si="20"/>
        <v>21</v>
      </c>
      <c r="G637" s="98" t="s">
        <v>262</v>
      </c>
      <c r="H637" s="99">
        <v>78950</v>
      </c>
      <c r="I637" s="100">
        <v>1</v>
      </c>
    </row>
    <row r="638" spans="1:9" ht="13.5" x14ac:dyDescent="0.25">
      <c r="A638" s="94" t="s">
        <v>856</v>
      </c>
      <c r="B638" s="95" t="s">
        <v>245</v>
      </c>
      <c r="C638" s="94" t="s">
        <v>856</v>
      </c>
      <c r="D638" s="94" t="s">
        <v>247</v>
      </c>
      <c r="E638" s="96">
        <v>34760</v>
      </c>
      <c r="F638" s="97">
        <f t="shared" ca="1" si="20"/>
        <v>21</v>
      </c>
      <c r="G638" s="98"/>
      <c r="H638" s="99">
        <v>59050</v>
      </c>
      <c r="I638" s="100">
        <v>4</v>
      </c>
    </row>
    <row r="639" spans="1:9" ht="13.5" x14ac:dyDescent="0.25">
      <c r="A639" s="94" t="s">
        <v>856</v>
      </c>
      <c r="B639" s="95" t="s">
        <v>271</v>
      </c>
      <c r="C639" s="94" t="s">
        <v>856</v>
      </c>
      <c r="D639" s="94" t="s">
        <v>256</v>
      </c>
      <c r="E639" s="96">
        <v>34768</v>
      </c>
      <c r="F639" s="97">
        <f t="shared" ca="1" si="20"/>
        <v>21</v>
      </c>
      <c r="G639" s="98" t="s">
        <v>276</v>
      </c>
      <c r="H639" s="99">
        <v>79610</v>
      </c>
      <c r="I639" s="100">
        <v>2</v>
      </c>
    </row>
    <row r="640" spans="1:9" ht="13.5" x14ac:dyDescent="0.25">
      <c r="A640" s="94" t="s">
        <v>856</v>
      </c>
      <c r="B640" s="95" t="s">
        <v>245</v>
      </c>
      <c r="C640" s="94" t="s">
        <v>856</v>
      </c>
      <c r="D640" s="94" t="s">
        <v>256</v>
      </c>
      <c r="E640" s="96">
        <v>34771</v>
      </c>
      <c r="F640" s="97">
        <f t="shared" ca="1" si="20"/>
        <v>21</v>
      </c>
      <c r="G640" s="98" t="s">
        <v>283</v>
      </c>
      <c r="H640" s="99">
        <v>67407</v>
      </c>
      <c r="I640" s="100">
        <v>5</v>
      </c>
    </row>
    <row r="641" spans="1:9" ht="13.5" x14ac:dyDescent="0.25">
      <c r="A641" s="94" t="s">
        <v>856</v>
      </c>
      <c r="B641" s="95" t="s">
        <v>271</v>
      </c>
      <c r="C641" s="94" t="s">
        <v>856</v>
      </c>
      <c r="D641" s="94" t="s">
        <v>261</v>
      </c>
      <c r="E641" s="96">
        <v>34886</v>
      </c>
      <c r="F641" s="97">
        <f t="shared" ca="1" si="20"/>
        <v>21</v>
      </c>
      <c r="G641" s="98" t="s">
        <v>257</v>
      </c>
      <c r="H641" s="99">
        <v>34980</v>
      </c>
      <c r="I641" s="100">
        <v>2</v>
      </c>
    </row>
    <row r="642" spans="1:9" ht="13.5" x14ac:dyDescent="0.25">
      <c r="A642" s="94" t="s">
        <v>856</v>
      </c>
      <c r="B642" s="95" t="s">
        <v>285</v>
      </c>
      <c r="C642" s="94" t="s">
        <v>856</v>
      </c>
      <c r="D642" s="94" t="s">
        <v>247</v>
      </c>
      <c r="E642" s="96">
        <v>34904</v>
      </c>
      <c r="F642" s="97">
        <f t="shared" ca="1" si="20"/>
        <v>21</v>
      </c>
      <c r="G642" s="98"/>
      <c r="H642" s="99">
        <v>53310</v>
      </c>
      <c r="I642" s="100">
        <v>5</v>
      </c>
    </row>
    <row r="643" spans="1:9" ht="13.5" x14ac:dyDescent="0.25">
      <c r="A643" s="94" t="s">
        <v>856</v>
      </c>
      <c r="B643" s="95" t="s">
        <v>285</v>
      </c>
      <c r="C643" s="94" t="s">
        <v>856</v>
      </c>
      <c r="D643" s="94" t="s">
        <v>256</v>
      </c>
      <c r="E643" s="96">
        <v>34935</v>
      </c>
      <c r="F643" s="97">
        <f t="shared" ca="1" si="20"/>
        <v>21</v>
      </c>
      <c r="G643" s="98" t="s">
        <v>257</v>
      </c>
      <c r="H643" s="99">
        <v>58410</v>
      </c>
      <c r="I643" s="100">
        <v>5</v>
      </c>
    </row>
    <row r="644" spans="1:9" ht="13.5" x14ac:dyDescent="0.25">
      <c r="A644" s="94" t="s">
        <v>856</v>
      </c>
      <c r="B644" s="95" t="s">
        <v>245</v>
      </c>
      <c r="C644" s="94" t="s">
        <v>856</v>
      </c>
      <c r="D644" s="94" t="s">
        <v>256</v>
      </c>
      <c r="E644" s="96">
        <v>34980</v>
      </c>
      <c r="F644" s="97">
        <f t="shared" ca="1" si="20"/>
        <v>21</v>
      </c>
      <c r="G644" s="98" t="s">
        <v>283</v>
      </c>
      <c r="H644" s="99">
        <v>39000</v>
      </c>
      <c r="I644" s="100">
        <v>3</v>
      </c>
    </row>
    <row r="645" spans="1:9" ht="13.5" x14ac:dyDescent="0.25">
      <c r="A645" s="94" t="s">
        <v>856</v>
      </c>
      <c r="B645" s="95" t="s">
        <v>285</v>
      </c>
      <c r="C645" s="94" t="s">
        <v>856</v>
      </c>
      <c r="D645" s="94" t="s">
        <v>256</v>
      </c>
      <c r="E645" s="96">
        <v>35002</v>
      </c>
      <c r="F645" s="97">
        <f t="shared" ca="1" si="20"/>
        <v>21</v>
      </c>
      <c r="G645" s="98" t="s">
        <v>257</v>
      </c>
      <c r="H645" s="99">
        <v>69200</v>
      </c>
      <c r="I645" s="100">
        <v>4</v>
      </c>
    </row>
    <row r="646" spans="1:9" ht="13.5" x14ac:dyDescent="0.25">
      <c r="A646" s="94" t="s">
        <v>856</v>
      </c>
      <c r="B646" s="95" t="s">
        <v>245</v>
      </c>
      <c r="C646" s="94" t="s">
        <v>856</v>
      </c>
      <c r="D646" s="94" t="s">
        <v>256</v>
      </c>
      <c r="E646" s="96">
        <v>35050</v>
      </c>
      <c r="F646" s="97">
        <f t="shared" ca="1" si="20"/>
        <v>20</v>
      </c>
      <c r="G646" s="98" t="s">
        <v>283</v>
      </c>
      <c r="H646" s="99">
        <v>67020</v>
      </c>
      <c r="I646" s="100">
        <v>1</v>
      </c>
    </row>
    <row r="647" spans="1:9" ht="13.5" x14ac:dyDescent="0.25">
      <c r="A647" s="94" t="s">
        <v>856</v>
      </c>
      <c r="B647" s="95" t="s">
        <v>271</v>
      </c>
      <c r="C647" s="94" t="s">
        <v>856</v>
      </c>
      <c r="D647" s="94" t="s">
        <v>247</v>
      </c>
      <c r="E647" s="96">
        <v>35096</v>
      </c>
      <c r="F647" s="97">
        <f t="shared" ca="1" si="20"/>
        <v>20</v>
      </c>
      <c r="G647" s="98"/>
      <c r="H647" s="99">
        <v>60800</v>
      </c>
      <c r="I647" s="100">
        <v>4</v>
      </c>
    </row>
    <row r="648" spans="1:9" ht="13.5" x14ac:dyDescent="0.25">
      <c r="A648" s="94" t="s">
        <v>856</v>
      </c>
      <c r="B648" s="95" t="s">
        <v>285</v>
      </c>
      <c r="C648" s="94" t="s">
        <v>856</v>
      </c>
      <c r="D648" s="94" t="s">
        <v>256</v>
      </c>
      <c r="E648" s="96">
        <v>35097</v>
      </c>
      <c r="F648" s="97">
        <f t="shared" ca="1" si="20"/>
        <v>20</v>
      </c>
      <c r="G648" s="98" t="s">
        <v>262</v>
      </c>
      <c r="H648" s="99">
        <v>45880</v>
      </c>
      <c r="I648" s="100">
        <v>5</v>
      </c>
    </row>
    <row r="649" spans="1:9" ht="13.5" x14ac:dyDescent="0.25">
      <c r="A649" s="94" t="s">
        <v>856</v>
      </c>
      <c r="B649" s="95" t="s">
        <v>285</v>
      </c>
      <c r="C649" s="94" t="s">
        <v>856</v>
      </c>
      <c r="D649" s="94" t="s">
        <v>261</v>
      </c>
      <c r="E649" s="96">
        <v>35113</v>
      </c>
      <c r="F649" s="97">
        <f t="shared" ca="1" si="20"/>
        <v>20</v>
      </c>
      <c r="G649" s="98" t="s">
        <v>276</v>
      </c>
      <c r="H649" s="99">
        <v>47350</v>
      </c>
      <c r="I649" s="100">
        <v>1</v>
      </c>
    </row>
    <row r="650" spans="1:9" ht="13.5" x14ac:dyDescent="0.25">
      <c r="A650" s="94" t="s">
        <v>856</v>
      </c>
      <c r="B650" s="95" t="s">
        <v>285</v>
      </c>
      <c r="C650" s="94" t="s">
        <v>856</v>
      </c>
      <c r="D650" s="94" t="s">
        <v>247</v>
      </c>
      <c r="E650" s="96">
        <v>35169</v>
      </c>
      <c r="F650" s="97">
        <f t="shared" ca="1" si="20"/>
        <v>20</v>
      </c>
      <c r="G650" s="98"/>
      <c r="H650" s="99">
        <v>54840</v>
      </c>
      <c r="I650" s="100">
        <v>4</v>
      </c>
    </row>
    <row r="651" spans="1:9" ht="13.5" x14ac:dyDescent="0.25">
      <c r="A651" s="94" t="s">
        <v>856</v>
      </c>
      <c r="B651" s="95" t="s">
        <v>266</v>
      </c>
      <c r="C651" s="94" t="s">
        <v>856</v>
      </c>
      <c r="D651" s="94" t="s">
        <v>256</v>
      </c>
      <c r="E651" s="96">
        <v>35204</v>
      </c>
      <c r="F651" s="97">
        <f t="shared" ca="1" si="20"/>
        <v>20</v>
      </c>
      <c r="G651" s="98" t="s">
        <v>283</v>
      </c>
      <c r="H651" s="99">
        <v>48250</v>
      </c>
      <c r="I651" s="100">
        <v>3</v>
      </c>
    </row>
    <row r="652" spans="1:9" ht="13.5" x14ac:dyDescent="0.25">
      <c r="A652" s="94" t="s">
        <v>856</v>
      </c>
      <c r="B652" s="95" t="s">
        <v>285</v>
      </c>
      <c r="C652" s="94" t="s">
        <v>856</v>
      </c>
      <c r="D652" s="94" t="s">
        <v>256</v>
      </c>
      <c r="E652" s="96">
        <v>35216</v>
      </c>
      <c r="F652" s="97">
        <f t="shared" ca="1" si="20"/>
        <v>20</v>
      </c>
      <c r="G652" s="98" t="s">
        <v>257</v>
      </c>
      <c r="H652" s="99">
        <v>29260</v>
      </c>
      <c r="I652" s="100">
        <v>4</v>
      </c>
    </row>
    <row r="653" spans="1:9" ht="13.5" x14ac:dyDescent="0.25">
      <c r="A653" s="94" t="s">
        <v>856</v>
      </c>
      <c r="B653" s="95" t="s">
        <v>271</v>
      </c>
      <c r="C653" s="94" t="s">
        <v>856</v>
      </c>
      <c r="D653" s="94" t="s">
        <v>261</v>
      </c>
      <c r="E653" s="96">
        <v>35221</v>
      </c>
      <c r="F653" s="97">
        <f t="shared" ca="1" si="20"/>
        <v>20</v>
      </c>
      <c r="G653" s="98" t="s">
        <v>267</v>
      </c>
      <c r="H653" s="99">
        <v>20990</v>
      </c>
      <c r="I653" s="100">
        <v>4</v>
      </c>
    </row>
    <row r="654" spans="1:9" ht="13.5" x14ac:dyDescent="0.25">
      <c r="A654" s="94" t="s">
        <v>856</v>
      </c>
      <c r="B654" s="95" t="s">
        <v>266</v>
      </c>
      <c r="C654" s="94" t="s">
        <v>856</v>
      </c>
      <c r="D654" s="94" t="s">
        <v>252</v>
      </c>
      <c r="E654" s="96">
        <v>35247</v>
      </c>
      <c r="F654" s="97">
        <f t="shared" ca="1" si="20"/>
        <v>20</v>
      </c>
      <c r="G654" s="98"/>
      <c r="H654" s="99">
        <v>15552</v>
      </c>
      <c r="I654" s="100">
        <v>4</v>
      </c>
    </row>
    <row r="655" spans="1:9" ht="13.5" x14ac:dyDescent="0.25">
      <c r="A655" s="94" t="s">
        <v>856</v>
      </c>
      <c r="B655" s="95" t="s">
        <v>271</v>
      </c>
      <c r="C655" s="94" t="s">
        <v>856</v>
      </c>
      <c r="D655" s="94" t="s">
        <v>247</v>
      </c>
      <c r="E655" s="96">
        <v>35332</v>
      </c>
      <c r="F655" s="97">
        <f t="shared" ca="1" si="20"/>
        <v>20</v>
      </c>
      <c r="G655" s="98"/>
      <c r="H655" s="99">
        <v>77760</v>
      </c>
      <c r="I655" s="100">
        <v>3</v>
      </c>
    </row>
    <row r="656" spans="1:9" ht="13.5" x14ac:dyDescent="0.25">
      <c r="A656" s="94" t="s">
        <v>856</v>
      </c>
      <c r="B656" s="95" t="s">
        <v>271</v>
      </c>
      <c r="C656" s="94" t="s">
        <v>856</v>
      </c>
      <c r="D656" s="94" t="s">
        <v>247</v>
      </c>
      <c r="E656" s="96">
        <v>35332</v>
      </c>
      <c r="F656" s="97">
        <f t="shared" ca="1" si="20"/>
        <v>20</v>
      </c>
      <c r="G656" s="98"/>
      <c r="H656" s="99">
        <v>77760</v>
      </c>
      <c r="I656" s="100">
        <v>3</v>
      </c>
    </row>
    <row r="657" spans="1:9" ht="13.5" x14ac:dyDescent="0.25">
      <c r="A657" s="94" t="s">
        <v>856</v>
      </c>
      <c r="B657" s="95" t="s">
        <v>251</v>
      </c>
      <c r="C657" s="94" t="s">
        <v>856</v>
      </c>
      <c r="D657" s="94" t="s">
        <v>247</v>
      </c>
      <c r="E657" s="96">
        <v>35772</v>
      </c>
      <c r="F657" s="97">
        <f t="shared" ca="1" si="20"/>
        <v>18</v>
      </c>
      <c r="G657" s="98"/>
      <c r="H657" s="99">
        <v>46780</v>
      </c>
      <c r="I657" s="100">
        <v>2</v>
      </c>
    </row>
    <row r="658" spans="1:9" ht="13.5" x14ac:dyDescent="0.25">
      <c r="A658" s="94" t="s">
        <v>856</v>
      </c>
      <c r="B658" s="95" t="s">
        <v>266</v>
      </c>
      <c r="C658" s="94" t="s">
        <v>856</v>
      </c>
      <c r="D658" s="94" t="s">
        <v>256</v>
      </c>
      <c r="E658" s="96">
        <v>36315</v>
      </c>
      <c r="F658" s="97">
        <f t="shared" ca="1" si="20"/>
        <v>17</v>
      </c>
      <c r="G658" s="98" t="s">
        <v>283</v>
      </c>
      <c r="H658" s="99">
        <v>82490</v>
      </c>
      <c r="I658" s="100">
        <v>5</v>
      </c>
    </row>
    <row r="659" spans="1:9" ht="13.5" x14ac:dyDescent="0.25">
      <c r="A659" s="94" t="s">
        <v>856</v>
      </c>
      <c r="B659" s="95" t="s">
        <v>245</v>
      </c>
      <c r="C659" s="94" t="s">
        <v>856</v>
      </c>
      <c r="D659" s="94" t="s">
        <v>261</v>
      </c>
      <c r="E659" s="96">
        <v>36465</v>
      </c>
      <c r="F659" s="97">
        <f t="shared" ca="1" si="20"/>
        <v>17</v>
      </c>
      <c r="G659" s="98" t="s">
        <v>262</v>
      </c>
      <c r="H659" s="99">
        <v>28525</v>
      </c>
      <c r="I659" s="100">
        <v>4</v>
      </c>
    </row>
    <row r="660" spans="1:9" ht="13.5" x14ac:dyDescent="0.25">
      <c r="A660" s="94" t="s">
        <v>856</v>
      </c>
      <c r="B660" s="95" t="s">
        <v>280</v>
      </c>
      <c r="C660" s="94" t="s">
        <v>856</v>
      </c>
      <c r="D660" s="94" t="s">
        <v>256</v>
      </c>
      <c r="E660" s="96">
        <v>36483</v>
      </c>
      <c r="F660" s="97">
        <f t="shared" ca="1" si="20"/>
        <v>16</v>
      </c>
      <c r="G660" s="98" t="s">
        <v>257</v>
      </c>
      <c r="H660" s="99">
        <v>29210</v>
      </c>
      <c r="I660" s="100">
        <v>5</v>
      </c>
    </row>
    <row r="661" spans="1:9" ht="13.5" x14ac:dyDescent="0.25">
      <c r="A661" s="94" t="s">
        <v>856</v>
      </c>
      <c r="B661" s="95" t="s">
        <v>280</v>
      </c>
      <c r="C661" s="94" t="s">
        <v>856</v>
      </c>
      <c r="D661" s="94" t="s">
        <v>261</v>
      </c>
      <c r="E661" s="96">
        <v>36505</v>
      </c>
      <c r="F661" s="97">
        <f t="shared" ca="1" si="20"/>
        <v>16</v>
      </c>
      <c r="G661" s="98" t="s">
        <v>257</v>
      </c>
      <c r="H661" s="99">
        <v>48740</v>
      </c>
      <c r="I661" s="100">
        <v>1</v>
      </c>
    </row>
    <row r="662" spans="1:9" ht="13.5" x14ac:dyDescent="0.25">
      <c r="A662" s="94" t="s">
        <v>856</v>
      </c>
      <c r="B662" s="95" t="s">
        <v>251</v>
      </c>
      <c r="C662" s="94" t="s">
        <v>856</v>
      </c>
      <c r="D662" s="94" t="s">
        <v>247</v>
      </c>
      <c r="E662" s="96">
        <v>36717</v>
      </c>
      <c r="F662" s="97">
        <f t="shared" ca="1" si="20"/>
        <v>16</v>
      </c>
      <c r="G662" s="98"/>
      <c r="H662" s="99">
        <v>64590</v>
      </c>
      <c r="I662" s="100">
        <v>1</v>
      </c>
    </row>
    <row r="663" spans="1:9" ht="13.5" x14ac:dyDescent="0.25">
      <c r="A663" s="94" t="s">
        <v>856</v>
      </c>
      <c r="B663" s="95" t="s">
        <v>245</v>
      </c>
      <c r="C663" s="94" t="s">
        <v>856</v>
      </c>
      <c r="D663" s="94" t="s">
        <v>256</v>
      </c>
      <c r="E663" s="96">
        <v>36927</v>
      </c>
      <c r="F663" s="97">
        <f t="shared" ref="F663:F674" ca="1" si="21">DATEDIF(E663,TODAY(),"Y")</f>
        <v>15</v>
      </c>
      <c r="G663" s="98" t="s">
        <v>283</v>
      </c>
      <c r="H663" s="99">
        <v>31910</v>
      </c>
      <c r="I663" s="100">
        <v>5</v>
      </c>
    </row>
    <row r="664" spans="1:9" ht="13.5" x14ac:dyDescent="0.25">
      <c r="A664" s="94" t="s">
        <v>856</v>
      </c>
      <c r="B664" s="95" t="s">
        <v>280</v>
      </c>
      <c r="C664" s="94" t="s">
        <v>856</v>
      </c>
      <c r="D664" s="94" t="s">
        <v>256</v>
      </c>
      <c r="E664" s="96">
        <v>37043</v>
      </c>
      <c r="F664" s="97">
        <f t="shared" ca="1" si="21"/>
        <v>15</v>
      </c>
      <c r="G664" s="98" t="s">
        <v>283</v>
      </c>
      <c r="H664" s="99">
        <v>83710</v>
      </c>
      <c r="I664" s="100">
        <v>3</v>
      </c>
    </row>
    <row r="665" spans="1:9" ht="13.5" x14ac:dyDescent="0.25">
      <c r="A665" s="94" t="s">
        <v>856</v>
      </c>
      <c r="B665" s="95" t="s">
        <v>285</v>
      </c>
      <c r="C665" s="94" t="s">
        <v>856</v>
      </c>
      <c r="D665" s="94" t="s">
        <v>247</v>
      </c>
      <c r="E665" s="96">
        <v>37483</v>
      </c>
      <c r="F665" s="97">
        <f t="shared" ca="1" si="21"/>
        <v>14</v>
      </c>
      <c r="G665" s="98"/>
      <c r="H665" s="99">
        <v>85930</v>
      </c>
      <c r="I665" s="100">
        <v>2</v>
      </c>
    </row>
    <row r="666" spans="1:9" ht="13.5" x14ac:dyDescent="0.25">
      <c r="A666" s="94" t="s">
        <v>856</v>
      </c>
      <c r="B666" s="95" t="s">
        <v>285</v>
      </c>
      <c r="C666" s="94" t="s">
        <v>856</v>
      </c>
      <c r="D666" s="94" t="s">
        <v>247</v>
      </c>
      <c r="E666" s="96">
        <v>37483</v>
      </c>
      <c r="F666" s="97">
        <f t="shared" ca="1" si="21"/>
        <v>14</v>
      </c>
      <c r="G666" s="98"/>
      <c r="H666" s="99">
        <v>85930</v>
      </c>
      <c r="I666" s="100">
        <v>2</v>
      </c>
    </row>
    <row r="667" spans="1:9" ht="13.5" x14ac:dyDescent="0.25">
      <c r="A667" s="94" t="s">
        <v>856</v>
      </c>
      <c r="B667" s="95" t="s">
        <v>285</v>
      </c>
      <c r="C667" s="94" t="s">
        <v>856</v>
      </c>
      <c r="D667" s="94" t="s">
        <v>256</v>
      </c>
      <c r="E667" s="96">
        <v>37592</v>
      </c>
      <c r="F667" s="97">
        <f t="shared" ca="1" si="21"/>
        <v>13</v>
      </c>
      <c r="G667" s="98" t="s">
        <v>257</v>
      </c>
      <c r="H667" s="99">
        <v>73560</v>
      </c>
      <c r="I667" s="100">
        <v>3</v>
      </c>
    </row>
    <row r="668" spans="1:9" ht="13.5" x14ac:dyDescent="0.25">
      <c r="A668" s="94" t="s">
        <v>856</v>
      </c>
      <c r="B668" s="95" t="s">
        <v>245</v>
      </c>
      <c r="C668" s="94" t="s">
        <v>856</v>
      </c>
      <c r="D668" s="94" t="s">
        <v>256</v>
      </c>
      <c r="E668" s="96">
        <v>37843</v>
      </c>
      <c r="F668" s="97">
        <f t="shared" ca="1" si="21"/>
        <v>13</v>
      </c>
      <c r="G668" s="98" t="s">
        <v>283</v>
      </c>
      <c r="H668" s="99">
        <v>43600</v>
      </c>
      <c r="I668" s="100">
        <v>5</v>
      </c>
    </row>
    <row r="669" spans="1:9" ht="13.5" x14ac:dyDescent="0.25">
      <c r="A669" s="94" t="s">
        <v>856</v>
      </c>
      <c r="B669" s="95" t="s">
        <v>285</v>
      </c>
      <c r="C669" s="94" t="s">
        <v>856</v>
      </c>
      <c r="D669" s="94" t="s">
        <v>247</v>
      </c>
      <c r="E669" s="96">
        <v>38410</v>
      </c>
      <c r="F669" s="97">
        <f t="shared" ca="1" si="21"/>
        <v>11</v>
      </c>
      <c r="G669" s="98"/>
      <c r="H669" s="99">
        <v>43320</v>
      </c>
      <c r="I669" s="100">
        <v>5</v>
      </c>
    </row>
    <row r="670" spans="1:9" ht="13.5" x14ac:dyDescent="0.25">
      <c r="A670" s="94" t="s">
        <v>856</v>
      </c>
      <c r="B670" s="95" t="s">
        <v>285</v>
      </c>
      <c r="C670" s="94" t="s">
        <v>856</v>
      </c>
      <c r="D670" s="94" t="s">
        <v>256</v>
      </c>
      <c r="E670" s="96">
        <v>38435</v>
      </c>
      <c r="F670" s="97">
        <f t="shared" ca="1" si="21"/>
        <v>11</v>
      </c>
      <c r="G670" s="98" t="s">
        <v>283</v>
      </c>
      <c r="H670" s="99">
        <v>29330</v>
      </c>
      <c r="I670" s="100">
        <v>5</v>
      </c>
    </row>
    <row r="671" spans="1:9" ht="13.5" x14ac:dyDescent="0.25">
      <c r="A671" s="94" t="s">
        <v>856</v>
      </c>
      <c r="B671" s="95" t="s">
        <v>245</v>
      </c>
      <c r="C671" s="94" t="s">
        <v>856</v>
      </c>
      <c r="D671" s="94" t="s">
        <v>256</v>
      </c>
      <c r="E671" s="96">
        <v>38505</v>
      </c>
      <c r="F671" s="97">
        <f t="shared" ca="1" si="21"/>
        <v>11</v>
      </c>
      <c r="G671" s="98" t="s">
        <v>283</v>
      </c>
      <c r="H671" s="99">
        <v>72060</v>
      </c>
      <c r="I671" s="100">
        <v>2</v>
      </c>
    </row>
    <row r="672" spans="1:9" ht="13.5" x14ac:dyDescent="0.25">
      <c r="A672" s="94" t="s">
        <v>856</v>
      </c>
      <c r="B672" s="95" t="s">
        <v>280</v>
      </c>
      <c r="C672" s="94" t="s">
        <v>856</v>
      </c>
      <c r="D672" s="94" t="s">
        <v>256</v>
      </c>
      <c r="E672" s="96">
        <v>38768</v>
      </c>
      <c r="F672" s="97">
        <f t="shared" ca="1" si="21"/>
        <v>10</v>
      </c>
      <c r="G672" s="98" t="s">
        <v>283</v>
      </c>
      <c r="H672" s="99">
        <v>23190</v>
      </c>
      <c r="I672" s="100">
        <v>5</v>
      </c>
    </row>
    <row r="673" spans="1:9" ht="13.5" x14ac:dyDescent="0.25">
      <c r="A673" s="94" t="s">
        <v>856</v>
      </c>
      <c r="B673" s="95" t="s">
        <v>271</v>
      </c>
      <c r="C673" s="94" t="s">
        <v>856</v>
      </c>
      <c r="D673" s="94" t="s">
        <v>247</v>
      </c>
      <c r="E673" s="96">
        <v>39040</v>
      </c>
      <c r="F673" s="97">
        <f t="shared" ca="1" si="21"/>
        <v>9</v>
      </c>
      <c r="G673" s="98"/>
      <c r="H673" s="99">
        <v>21580</v>
      </c>
      <c r="I673" s="100">
        <v>3</v>
      </c>
    </row>
    <row r="674" spans="1:9" ht="13.5" x14ac:dyDescent="0.25">
      <c r="A674" s="94" t="s">
        <v>856</v>
      </c>
      <c r="B674" s="95" t="s">
        <v>285</v>
      </c>
      <c r="C674" s="94" t="s">
        <v>856</v>
      </c>
      <c r="D674" s="94" t="s">
        <v>256</v>
      </c>
      <c r="E674" s="96">
        <v>39271</v>
      </c>
      <c r="F674" s="97">
        <f t="shared" ca="1" si="21"/>
        <v>9</v>
      </c>
      <c r="G674" s="98" t="s">
        <v>267</v>
      </c>
      <c r="H674" s="99">
        <v>80260</v>
      </c>
      <c r="I674" s="100">
        <v>3</v>
      </c>
    </row>
    <row r="675" spans="1:9" ht="13.5" x14ac:dyDescent="0.25">
      <c r="A675" s="101" t="s">
        <v>1055</v>
      </c>
      <c r="B675" s="95"/>
      <c r="C675" s="101"/>
      <c r="D675" s="94"/>
      <c r="E675" s="96"/>
      <c r="F675" s="97"/>
      <c r="G675" s="98"/>
      <c r="H675" s="99"/>
      <c r="I675" s="100"/>
    </row>
    <row r="676" spans="1:9" ht="13.5" x14ac:dyDescent="0.25">
      <c r="A676" s="94" t="s">
        <v>930</v>
      </c>
      <c r="B676" s="95" t="s">
        <v>285</v>
      </c>
      <c r="C676" s="94" t="s">
        <v>930</v>
      </c>
      <c r="D676" s="94" t="s">
        <v>247</v>
      </c>
      <c r="E676" s="96">
        <v>31834</v>
      </c>
      <c r="F676" s="97">
        <f t="shared" ref="F676:F739" ca="1" si="22">DATEDIF(E676,TODAY(),"Y")</f>
        <v>29</v>
      </c>
      <c r="G676" s="98"/>
      <c r="H676" s="99">
        <v>23340</v>
      </c>
      <c r="I676" s="100">
        <v>4</v>
      </c>
    </row>
    <row r="677" spans="1:9" ht="13.5" x14ac:dyDescent="0.25">
      <c r="A677" s="94" t="s">
        <v>930</v>
      </c>
      <c r="B677" s="95" t="s">
        <v>271</v>
      </c>
      <c r="C677" s="94" t="s">
        <v>930</v>
      </c>
      <c r="D677" s="94" t="s">
        <v>247</v>
      </c>
      <c r="E677" s="96">
        <v>31883</v>
      </c>
      <c r="F677" s="97">
        <f t="shared" ca="1" si="22"/>
        <v>29</v>
      </c>
      <c r="G677" s="98"/>
      <c r="H677" s="99">
        <v>63610</v>
      </c>
      <c r="I677" s="100">
        <v>5</v>
      </c>
    </row>
    <row r="678" spans="1:9" ht="13.5" x14ac:dyDescent="0.25">
      <c r="A678" s="94" t="s">
        <v>930</v>
      </c>
      <c r="B678" s="95" t="s">
        <v>271</v>
      </c>
      <c r="C678" s="94" t="s">
        <v>930</v>
      </c>
      <c r="D678" s="94" t="s">
        <v>256</v>
      </c>
      <c r="E678" s="96">
        <v>31969</v>
      </c>
      <c r="F678" s="97">
        <f t="shared" ca="1" si="22"/>
        <v>29</v>
      </c>
      <c r="G678" s="98" t="s">
        <v>257</v>
      </c>
      <c r="H678" s="99">
        <v>24200</v>
      </c>
      <c r="I678" s="100">
        <v>5</v>
      </c>
    </row>
    <row r="679" spans="1:9" ht="13.5" x14ac:dyDescent="0.25">
      <c r="A679" s="94" t="s">
        <v>930</v>
      </c>
      <c r="B679" s="95" t="s">
        <v>285</v>
      </c>
      <c r="C679" s="94" t="s">
        <v>930</v>
      </c>
      <c r="D679" s="94" t="s">
        <v>261</v>
      </c>
      <c r="E679" s="96">
        <v>32081</v>
      </c>
      <c r="F679" s="97">
        <f t="shared" ca="1" si="22"/>
        <v>29</v>
      </c>
      <c r="G679" s="98" t="s">
        <v>283</v>
      </c>
      <c r="H679" s="99">
        <v>13455</v>
      </c>
      <c r="I679" s="100">
        <v>2</v>
      </c>
    </row>
    <row r="680" spans="1:9" ht="13.5" x14ac:dyDescent="0.25">
      <c r="A680" s="94" t="s">
        <v>930</v>
      </c>
      <c r="B680" s="95" t="s">
        <v>245</v>
      </c>
      <c r="C680" s="94" t="s">
        <v>930</v>
      </c>
      <c r="D680" s="94" t="s">
        <v>247</v>
      </c>
      <c r="E680" s="96">
        <v>32091</v>
      </c>
      <c r="F680" s="97">
        <f t="shared" ca="1" si="22"/>
        <v>28</v>
      </c>
      <c r="G680" s="98"/>
      <c r="H680" s="99">
        <v>34680</v>
      </c>
      <c r="I680" s="100">
        <v>5</v>
      </c>
    </row>
    <row r="681" spans="1:9" ht="13.5" x14ac:dyDescent="0.25">
      <c r="A681" s="94" t="s">
        <v>930</v>
      </c>
      <c r="B681" s="95" t="s">
        <v>280</v>
      </c>
      <c r="C681" s="94" t="s">
        <v>930</v>
      </c>
      <c r="D681" s="94" t="s">
        <v>247</v>
      </c>
      <c r="E681" s="96">
        <v>32103</v>
      </c>
      <c r="F681" s="97">
        <f t="shared" ca="1" si="22"/>
        <v>28</v>
      </c>
      <c r="G681" s="98"/>
      <c r="H681" s="99">
        <v>26020</v>
      </c>
      <c r="I681" s="100">
        <v>5</v>
      </c>
    </row>
    <row r="682" spans="1:9" ht="13.5" x14ac:dyDescent="0.25">
      <c r="A682" s="94" t="s">
        <v>930</v>
      </c>
      <c r="B682" s="95" t="s">
        <v>285</v>
      </c>
      <c r="C682" s="94" t="s">
        <v>930</v>
      </c>
      <c r="D682" s="94" t="s">
        <v>247</v>
      </c>
      <c r="E682" s="96">
        <v>32185</v>
      </c>
      <c r="F682" s="97">
        <f t="shared" ca="1" si="22"/>
        <v>28</v>
      </c>
      <c r="G682" s="98"/>
      <c r="H682" s="99">
        <v>62480</v>
      </c>
      <c r="I682" s="100">
        <v>5</v>
      </c>
    </row>
    <row r="683" spans="1:9" ht="13.5" x14ac:dyDescent="0.25">
      <c r="A683" s="94" t="s">
        <v>930</v>
      </c>
      <c r="B683" s="95" t="s">
        <v>271</v>
      </c>
      <c r="C683" s="94" t="s">
        <v>930</v>
      </c>
      <c r="D683" s="94" t="s">
        <v>247</v>
      </c>
      <c r="E683" s="96">
        <v>32196</v>
      </c>
      <c r="F683" s="97">
        <f t="shared" ca="1" si="22"/>
        <v>28</v>
      </c>
      <c r="G683" s="98"/>
      <c r="H683" s="99">
        <v>61134</v>
      </c>
      <c r="I683" s="100">
        <v>4</v>
      </c>
    </row>
    <row r="684" spans="1:9" ht="13.5" x14ac:dyDescent="0.25">
      <c r="A684" s="94" t="s">
        <v>930</v>
      </c>
      <c r="B684" s="95" t="s">
        <v>285</v>
      </c>
      <c r="C684" s="94" t="s">
        <v>930</v>
      </c>
      <c r="D684" s="94" t="s">
        <v>247</v>
      </c>
      <c r="E684" s="96">
        <v>32252</v>
      </c>
      <c r="F684" s="97">
        <f t="shared" ca="1" si="22"/>
        <v>28</v>
      </c>
      <c r="G684" s="98"/>
      <c r="H684" s="99">
        <v>57500</v>
      </c>
      <c r="I684" s="100">
        <v>1</v>
      </c>
    </row>
    <row r="685" spans="1:9" ht="13.5" x14ac:dyDescent="0.25">
      <c r="A685" s="94" t="s">
        <v>930</v>
      </c>
      <c r="B685" s="95" t="s">
        <v>285</v>
      </c>
      <c r="C685" s="94" t="s">
        <v>930</v>
      </c>
      <c r="D685" s="94" t="s">
        <v>256</v>
      </c>
      <c r="E685" s="96">
        <v>32371</v>
      </c>
      <c r="F685" s="97">
        <f t="shared" ca="1" si="22"/>
        <v>28</v>
      </c>
      <c r="G685" s="98" t="s">
        <v>262</v>
      </c>
      <c r="H685" s="99">
        <v>46550</v>
      </c>
      <c r="I685" s="100">
        <v>4</v>
      </c>
    </row>
    <row r="686" spans="1:9" ht="13.5" x14ac:dyDescent="0.25">
      <c r="A686" s="94" t="s">
        <v>930</v>
      </c>
      <c r="B686" s="95" t="s">
        <v>245</v>
      </c>
      <c r="C686" s="94" t="s">
        <v>930</v>
      </c>
      <c r="D686" s="94" t="s">
        <v>247</v>
      </c>
      <c r="E686" s="96">
        <v>32479</v>
      </c>
      <c r="F686" s="97">
        <f t="shared" ca="1" si="22"/>
        <v>27</v>
      </c>
      <c r="G686" s="98"/>
      <c r="H686" s="99">
        <v>59128</v>
      </c>
      <c r="I686" s="100">
        <v>4</v>
      </c>
    </row>
    <row r="687" spans="1:9" ht="13.5" x14ac:dyDescent="0.25">
      <c r="A687" s="94" t="s">
        <v>930</v>
      </c>
      <c r="B687" s="95" t="s">
        <v>271</v>
      </c>
      <c r="C687" s="94" t="s">
        <v>930</v>
      </c>
      <c r="D687" s="94" t="s">
        <v>256</v>
      </c>
      <c r="E687" s="96">
        <v>32496</v>
      </c>
      <c r="F687" s="97">
        <f t="shared" ca="1" si="22"/>
        <v>27</v>
      </c>
      <c r="G687" s="98" t="s">
        <v>262</v>
      </c>
      <c r="H687" s="99">
        <v>62780</v>
      </c>
      <c r="I687" s="100">
        <v>3</v>
      </c>
    </row>
    <row r="688" spans="1:9" ht="13.5" x14ac:dyDescent="0.25">
      <c r="A688" s="94" t="s">
        <v>930</v>
      </c>
      <c r="B688" s="95" t="s">
        <v>245</v>
      </c>
      <c r="C688" s="94" t="s">
        <v>930</v>
      </c>
      <c r="D688" s="94" t="s">
        <v>247</v>
      </c>
      <c r="E688" s="96">
        <v>32510</v>
      </c>
      <c r="F688" s="97">
        <f t="shared" ca="1" si="22"/>
        <v>27</v>
      </c>
      <c r="G688" s="98"/>
      <c r="H688" s="99">
        <v>70300</v>
      </c>
      <c r="I688" s="100">
        <v>3</v>
      </c>
    </row>
    <row r="689" spans="1:9" ht="13.5" x14ac:dyDescent="0.25">
      <c r="A689" s="94" t="s">
        <v>930</v>
      </c>
      <c r="B689" s="95" t="s">
        <v>266</v>
      </c>
      <c r="C689" s="94" t="s">
        <v>930</v>
      </c>
      <c r="D689" s="94" t="s">
        <v>256</v>
      </c>
      <c r="E689" s="96">
        <v>32611</v>
      </c>
      <c r="F689" s="97">
        <f t="shared" ca="1" si="22"/>
        <v>27</v>
      </c>
      <c r="G689" s="98" t="s">
        <v>267</v>
      </c>
      <c r="H689" s="99">
        <v>32160</v>
      </c>
      <c r="I689" s="100">
        <v>3</v>
      </c>
    </row>
    <row r="690" spans="1:9" ht="13.5" x14ac:dyDescent="0.25">
      <c r="A690" s="94" t="s">
        <v>930</v>
      </c>
      <c r="B690" s="95" t="s">
        <v>271</v>
      </c>
      <c r="C690" s="94" t="s">
        <v>930</v>
      </c>
      <c r="D690" s="94" t="s">
        <v>256</v>
      </c>
      <c r="E690" s="96">
        <v>32647</v>
      </c>
      <c r="F690" s="97">
        <f t="shared" ca="1" si="22"/>
        <v>27</v>
      </c>
      <c r="G690" s="98" t="s">
        <v>262</v>
      </c>
      <c r="H690" s="99">
        <v>59490</v>
      </c>
      <c r="I690" s="100">
        <v>3</v>
      </c>
    </row>
    <row r="691" spans="1:9" ht="13.5" x14ac:dyDescent="0.25">
      <c r="A691" s="94" t="s">
        <v>930</v>
      </c>
      <c r="B691" s="95" t="s">
        <v>285</v>
      </c>
      <c r="C691" s="94" t="s">
        <v>930</v>
      </c>
      <c r="D691" s="94" t="s">
        <v>247</v>
      </c>
      <c r="E691" s="96">
        <v>32664</v>
      </c>
      <c r="F691" s="97">
        <f t="shared" ca="1" si="22"/>
        <v>27</v>
      </c>
      <c r="G691" s="98"/>
      <c r="H691" s="99">
        <v>70150</v>
      </c>
      <c r="I691" s="100">
        <v>2</v>
      </c>
    </row>
    <row r="692" spans="1:9" ht="13.5" x14ac:dyDescent="0.25">
      <c r="A692" s="94" t="s">
        <v>930</v>
      </c>
      <c r="B692" s="95" t="s">
        <v>271</v>
      </c>
      <c r="C692" s="94" t="s">
        <v>930</v>
      </c>
      <c r="D692" s="94" t="s">
        <v>247</v>
      </c>
      <c r="E692" s="96">
        <v>32667</v>
      </c>
      <c r="F692" s="97">
        <f t="shared" ca="1" si="22"/>
        <v>27</v>
      </c>
      <c r="G692" s="98"/>
      <c r="H692" s="99">
        <v>63290</v>
      </c>
      <c r="I692" s="100">
        <v>5</v>
      </c>
    </row>
    <row r="693" spans="1:9" ht="13.5" x14ac:dyDescent="0.25">
      <c r="A693" s="94" t="s">
        <v>930</v>
      </c>
      <c r="B693" s="95" t="s">
        <v>280</v>
      </c>
      <c r="C693" s="94" t="s">
        <v>930</v>
      </c>
      <c r="D693" s="94" t="s">
        <v>256</v>
      </c>
      <c r="E693" s="96">
        <v>32668</v>
      </c>
      <c r="F693" s="97">
        <f t="shared" ca="1" si="22"/>
        <v>27</v>
      </c>
      <c r="G693" s="98" t="s">
        <v>283</v>
      </c>
      <c r="H693" s="99">
        <v>46410</v>
      </c>
      <c r="I693" s="100">
        <v>2</v>
      </c>
    </row>
    <row r="694" spans="1:9" ht="13.5" x14ac:dyDescent="0.25">
      <c r="A694" s="94" t="s">
        <v>930</v>
      </c>
      <c r="B694" s="95" t="s">
        <v>285</v>
      </c>
      <c r="C694" s="94" t="s">
        <v>930</v>
      </c>
      <c r="D694" s="94" t="s">
        <v>261</v>
      </c>
      <c r="E694" s="96">
        <v>32695</v>
      </c>
      <c r="F694" s="97">
        <f t="shared" ca="1" si="22"/>
        <v>27</v>
      </c>
      <c r="G694" s="98" t="s">
        <v>257</v>
      </c>
      <c r="H694" s="99">
        <v>19935</v>
      </c>
      <c r="I694" s="100">
        <v>1</v>
      </c>
    </row>
    <row r="695" spans="1:9" ht="13.5" x14ac:dyDescent="0.25">
      <c r="A695" s="94" t="s">
        <v>930</v>
      </c>
      <c r="B695" s="95" t="s">
        <v>271</v>
      </c>
      <c r="C695" s="94" t="s">
        <v>930</v>
      </c>
      <c r="D695" s="94" t="s">
        <v>261</v>
      </c>
      <c r="E695" s="96">
        <v>32732</v>
      </c>
      <c r="F695" s="97">
        <f t="shared" ca="1" si="22"/>
        <v>27</v>
      </c>
      <c r="G695" s="98" t="s">
        <v>267</v>
      </c>
      <c r="H695" s="99">
        <v>27710</v>
      </c>
      <c r="I695" s="100">
        <v>3</v>
      </c>
    </row>
    <row r="696" spans="1:9" ht="13.5" x14ac:dyDescent="0.25">
      <c r="A696" s="94" t="s">
        <v>930</v>
      </c>
      <c r="B696" s="95" t="s">
        <v>285</v>
      </c>
      <c r="C696" s="94" t="s">
        <v>930</v>
      </c>
      <c r="D696" s="94" t="s">
        <v>247</v>
      </c>
      <c r="E696" s="96">
        <v>32816</v>
      </c>
      <c r="F696" s="97">
        <f t="shared" ca="1" si="22"/>
        <v>27</v>
      </c>
      <c r="G696" s="98"/>
      <c r="H696" s="99">
        <v>75550</v>
      </c>
      <c r="I696" s="100">
        <v>3</v>
      </c>
    </row>
    <row r="697" spans="1:9" ht="13.5" x14ac:dyDescent="0.25">
      <c r="A697" s="94" t="s">
        <v>930</v>
      </c>
      <c r="B697" s="95" t="s">
        <v>280</v>
      </c>
      <c r="C697" s="94" t="s">
        <v>930</v>
      </c>
      <c r="D697" s="94" t="s">
        <v>247</v>
      </c>
      <c r="E697" s="96">
        <v>32825</v>
      </c>
      <c r="F697" s="97">
        <f t="shared" ca="1" si="22"/>
        <v>26</v>
      </c>
      <c r="G697" s="98"/>
      <c r="H697" s="99">
        <v>78590</v>
      </c>
      <c r="I697" s="100">
        <v>1</v>
      </c>
    </row>
    <row r="698" spans="1:9" ht="13.5" x14ac:dyDescent="0.25">
      <c r="A698" s="94" t="s">
        <v>930</v>
      </c>
      <c r="B698" s="95" t="s">
        <v>285</v>
      </c>
      <c r="C698" s="94" t="s">
        <v>930</v>
      </c>
      <c r="D698" s="94" t="s">
        <v>261</v>
      </c>
      <c r="E698" s="96">
        <v>32830</v>
      </c>
      <c r="F698" s="97">
        <f t="shared" ca="1" si="22"/>
        <v>26</v>
      </c>
      <c r="G698" s="98" t="s">
        <v>276</v>
      </c>
      <c r="H698" s="99">
        <v>11230</v>
      </c>
      <c r="I698" s="100">
        <v>4</v>
      </c>
    </row>
    <row r="699" spans="1:9" ht="13.5" x14ac:dyDescent="0.25">
      <c r="A699" s="94" t="s">
        <v>930</v>
      </c>
      <c r="B699" s="95" t="s">
        <v>271</v>
      </c>
      <c r="C699" s="94" t="s">
        <v>930</v>
      </c>
      <c r="D699" s="94" t="s">
        <v>261</v>
      </c>
      <c r="E699" s="96">
        <v>32844</v>
      </c>
      <c r="F699" s="97">
        <f t="shared" ca="1" si="22"/>
        <v>26</v>
      </c>
      <c r="G699" s="98" t="s">
        <v>257</v>
      </c>
      <c r="H699" s="99">
        <v>49545</v>
      </c>
      <c r="I699" s="100">
        <v>2</v>
      </c>
    </row>
    <row r="700" spans="1:9" ht="13.5" x14ac:dyDescent="0.25">
      <c r="A700" s="94" t="s">
        <v>930</v>
      </c>
      <c r="B700" s="95" t="s">
        <v>280</v>
      </c>
      <c r="C700" s="94" t="s">
        <v>930</v>
      </c>
      <c r="D700" s="94" t="s">
        <v>247</v>
      </c>
      <c r="E700" s="96">
        <v>32849</v>
      </c>
      <c r="F700" s="97">
        <f t="shared" ca="1" si="22"/>
        <v>26</v>
      </c>
      <c r="G700" s="98"/>
      <c r="H700" s="99">
        <v>35240</v>
      </c>
      <c r="I700" s="100">
        <v>3</v>
      </c>
    </row>
    <row r="701" spans="1:9" ht="13.5" x14ac:dyDescent="0.25">
      <c r="A701" s="94" t="s">
        <v>930</v>
      </c>
      <c r="B701" s="95" t="s">
        <v>285</v>
      </c>
      <c r="C701" s="94" t="s">
        <v>930</v>
      </c>
      <c r="D701" s="94" t="s">
        <v>256</v>
      </c>
      <c r="E701" s="96">
        <v>32976</v>
      </c>
      <c r="F701" s="97">
        <f t="shared" ca="1" si="22"/>
        <v>26</v>
      </c>
      <c r="G701" s="98" t="s">
        <v>283</v>
      </c>
      <c r="H701" s="99">
        <v>87220</v>
      </c>
      <c r="I701" s="100">
        <v>1</v>
      </c>
    </row>
    <row r="702" spans="1:9" ht="13.5" x14ac:dyDescent="0.25">
      <c r="A702" s="94" t="s">
        <v>930</v>
      </c>
      <c r="B702" s="95" t="s">
        <v>271</v>
      </c>
      <c r="C702" s="94" t="s">
        <v>930</v>
      </c>
      <c r="D702" s="94" t="s">
        <v>256</v>
      </c>
      <c r="E702" s="96">
        <v>33115</v>
      </c>
      <c r="F702" s="97">
        <f t="shared" ca="1" si="22"/>
        <v>26</v>
      </c>
      <c r="G702" s="98" t="s">
        <v>283</v>
      </c>
      <c r="H702" s="99">
        <v>73850</v>
      </c>
      <c r="I702" s="100">
        <v>2</v>
      </c>
    </row>
    <row r="703" spans="1:9" ht="13.5" x14ac:dyDescent="0.25">
      <c r="A703" s="94" t="s">
        <v>930</v>
      </c>
      <c r="B703" s="95" t="s">
        <v>285</v>
      </c>
      <c r="C703" s="94" t="s">
        <v>930</v>
      </c>
      <c r="D703" s="94" t="s">
        <v>247</v>
      </c>
      <c r="E703" s="96">
        <v>33224</v>
      </c>
      <c r="F703" s="97">
        <f t="shared" ca="1" si="22"/>
        <v>25</v>
      </c>
      <c r="G703" s="98"/>
      <c r="H703" s="99">
        <v>45105</v>
      </c>
      <c r="I703" s="100">
        <v>1</v>
      </c>
    </row>
    <row r="704" spans="1:9" ht="13.5" x14ac:dyDescent="0.25">
      <c r="A704" s="94" t="s">
        <v>930</v>
      </c>
      <c r="B704" s="95" t="s">
        <v>271</v>
      </c>
      <c r="C704" s="94" t="s">
        <v>930</v>
      </c>
      <c r="D704" s="94" t="s">
        <v>256</v>
      </c>
      <c r="E704" s="96">
        <v>33360</v>
      </c>
      <c r="F704" s="97">
        <f t="shared" ca="1" si="22"/>
        <v>25</v>
      </c>
      <c r="G704" s="98" t="s">
        <v>257</v>
      </c>
      <c r="H704" s="99">
        <v>69510</v>
      </c>
      <c r="I704" s="100">
        <v>5</v>
      </c>
    </row>
    <row r="705" spans="1:9" ht="13.5" x14ac:dyDescent="0.25">
      <c r="A705" s="94" t="s">
        <v>930</v>
      </c>
      <c r="B705" s="95" t="s">
        <v>271</v>
      </c>
      <c r="C705" s="94" t="s">
        <v>930</v>
      </c>
      <c r="D705" s="94" t="s">
        <v>247</v>
      </c>
      <c r="E705" s="96">
        <v>33413</v>
      </c>
      <c r="F705" s="97">
        <f t="shared" ca="1" si="22"/>
        <v>25</v>
      </c>
      <c r="G705" s="98"/>
      <c r="H705" s="99">
        <v>64263</v>
      </c>
      <c r="I705" s="100">
        <v>3</v>
      </c>
    </row>
    <row r="706" spans="1:9" ht="13.5" x14ac:dyDescent="0.25">
      <c r="A706" s="94" t="s">
        <v>930</v>
      </c>
      <c r="B706" s="95" t="s">
        <v>285</v>
      </c>
      <c r="C706" s="94" t="s">
        <v>930</v>
      </c>
      <c r="D706" s="94" t="s">
        <v>252</v>
      </c>
      <c r="E706" s="96">
        <v>33515</v>
      </c>
      <c r="F706" s="97">
        <f t="shared" ca="1" si="22"/>
        <v>25</v>
      </c>
      <c r="G706" s="98"/>
      <c r="H706" s="99">
        <v>26944</v>
      </c>
      <c r="I706" s="100">
        <v>4</v>
      </c>
    </row>
    <row r="707" spans="1:9" ht="13.5" x14ac:dyDescent="0.25">
      <c r="A707" s="94" t="s">
        <v>930</v>
      </c>
      <c r="B707" s="95" t="s">
        <v>245</v>
      </c>
      <c r="C707" s="94" t="s">
        <v>930</v>
      </c>
      <c r="D707" s="94" t="s">
        <v>261</v>
      </c>
      <c r="E707" s="96">
        <v>33650</v>
      </c>
      <c r="F707" s="97">
        <f t="shared" ca="1" si="22"/>
        <v>24</v>
      </c>
      <c r="G707" s="98" t="s">
        <v>276</v>
      </c>
      <c r="H707" s="99">
        <v>23000</v>
      </c>
      <c r="I707" s="100">
        <v>4</v>
      </c>
    </row>
    <row r="708" spans="1:9" ht="13.5" x14ac:dyDescent="0.25">
      <c r="A708" s="94" t="s">
        <v>930</v>
      </c>
      <c r="B708" s="95" t="s">
        <v>285</v>
      </c>
      <c r="C708" s="94" t="s">
        <v>930</v>
      </c>
      <c r="D708" s="94" t="s">
        <v>256</v>
      </c>
      <c r="E708" s="96">
        <v>33742</v>
      </c>
      <c r="F708" s="97">
        <f t="shared" ca="1" si="22"/>
        <v>24</v>
      </c>
      <c r="G708" s="98" t="s">
        <v>267</v>
      </c>
      <c r="H708" s="99">
        <v>64780</v>
      </c>
      <c r="I708" s="100">
        <v>5</v>
      </c>
    </row>
    <row r="709" spans="1:9" ht="13.5" x14ac:dyDescent="0.25">
      <c r="A709" s="94" t="s">
        <v>930</v>
      </c>
      <c r="B709" s="95" t="s">
        <v>285</v>
      </c>
      <c r="C709" s="94" t="s">
        <v>930</v>
      </c>
      <c r="D709" s="94" t="s">
        <v>256</v>
      </c>
      <c r="E709" s="96">
        <v>33742</v>
      </c>
      <c r="F709" s="97">
        <f t="shared" ca="1" si="22"/>
        <v>24</v>
      </c>
      <c r="G709" s="98" t="s">
        <v>267</v>
      </c>
      <c r="H709" s="99">
        <v>64780</v>
      </c>
      <c r="I709" s="100">
        <v>5</v>
      </c>
    </row>
    <row r="710" spans="1:9" ht="13.5" x14ac:dyDescent="0.25">
      <c r="A710" s="94" t="s">
        <v>930</v>
      </c>
      <c r="B710" s="95" t="s">
        <v>285</v>
      </c>
      <c r="C710" s="94" t="s">
        <v>930</v>
      </c>
      <c r="D710" s="94" t="s">
        <v>256</v>
      </c>
      <c r="E710" s="96">
        <v>33827</v>
      </c>
      <c r="F710" s="97">
        <f t="shared" ca="1" si="22"/>
        <v>24</v>
      </c>
      <c r="G710" s="98" t="s">
        <v>283</v>
      </c>
      <c r="H710" s="99">
        <v>33590</v>
      </c>
      <c r="I710" s="100">
        <v>5</v>
      </c>
    </row>
    <row r="711" spans="1:9" ht="13.5" x14ac:dyDescent="0.25">
      <c r="A711" s="94" t="s">
        <v>930</v>
      </c>
      <c r="B711" s="95" t="s">
        <v>285</v>
      </c>
      <c r="C711" s="94" t="s">
        <v>930</v>
      </c>
      <c r="D711" s="94" t="s">
        <v>252</v>
      </c>
      <c r="E711" s="96">
        <v>33937</v>
      </c>
      <c r="F711" s="97">
        <f t="shared" ca="1" si="22"/>
        <v>23</v>
      </c>
      <c r="G711" s="98"/>
      <c r="H711" s="99">
        <v>33752</v>
      </c>
      <c r="I711" s="100">
        <v>3</v>
      </c>
    </row>
    <row r="712" spans="1:9" ht="13.5" x14ac:dyDescent="0.25">
      <c r="A712" s="94" t="s">
        <v>930</v>
      </c>
      <c r="B712" s="95" t="s">
        <v>285</v>
      </c>
      <c r="C712" s="94" t="s">
        <v>930</v>
      </c>
      <c r="D712" s="94" t="s">
        <v>256</v>
      </c>
      <c r="E712" s="96">
        <v>33966</v>
      </c>
      <c r="F712" s="97">
        <f t="shared" ca="1" si="22"/>
        <v>23</v>
      </c>
      <c r="G712" s="98" t="s">
        <v>257</v>
      </c>
      <c r="H712" s="99">
        <v>58370</v>
      </c>
      <c r="I712" s="100">
        <v>5</v>
      </c>
    </row>
    <row r="713" spans="1:9" ht="13.5" x14ac:dyDescent="0.25">
      <c r="A713" s="94" t="s">
        <v>930</v>
      </c>
      <c r="B713" s="95" t="s">
        <v>280</v>
      </c>
      <c r="C713" s="94" t="s">
        <v>930</v>
      </c>
      <c r="D713" s="94" t="s">
        <v>247</v>
      </c>
      <c r="E713" s="96">
        <v>33970</v>
      </c>
      <c r="F713" s="97">
        <f t="shared" ca="1" si="22"/>
        <v>23</v>
      </c>
      <c r="G713" s="98"/>
      <c r="H713" s="99">
        <v>41770</v>
      </c>
      <c r="I713" s="100">
        <v>5</v>
      </c>
    </row>
    <row r="714" spans="1:9" ht="13.5" x14ac:dyDescent="0.25">
      <c r="A714" s="94" t="s">
        <v>930</v>
      </c>
      <c r="B714" s="95" t="s">
        <v>266</v>
      </c>
      <c r="C714" s="94" t="s">
        <v>930</v>
      </c>
      <c r="D714" s="94" t="s">
        <v>261</v>
      </c>
      <c r="E714" s="96">
        <v>33987</v>
      </c>
      <c r="F714" s="97">
        <f t="shared" ca="1" si="22"/>
        <v>23</v>
      </c>
      <c r="G714" s="98" t="s">
        <v>283</v>
      </c>
      <c r="H714" s="99">
        <v>38105</v>
      </c>
      <c r="I714" s="100">
        <v>2</v>
      </c>
    </row>
    <row r="715" spans="1:9" ht="13.5" x14ac:dyDescent="0.25">
      <c r="A715" s="94" t="s">
        <v>930</v>
      </c>
      <c r="B715" s="95" t="s">
        <v>251</v>
      </c>
      <c r="C715" s="94" t="s">
        <v>930</v>
      </c>
      <c r="D715" s="94" t="s">
        <v>256</v>
      </c>
      <c r="E715" s="96">
        <v>33997</v>
      </c>
      <c r="F715" s="97">
        <f t="shared" ca="1" si="22"/>
        <v>23</v>
      </c>
      <c r="G715" s="98" t="s">
        <v>257</v>
      </c>
      <c r="H715" s="99">
        <v>31690</v>
      </c>
      <c r="I715" s="100">
        <v>4</v>
      </c>
    </row>
    <row r="716" spans="1:9" ht="13.5" x14ac:dyDescent="0.25">
      <c r="A716" s="94" t="s">
        <v>930</v>
      </c>
      <c r="B716" s="95" t="s">
        <v>280</v>
      </c>
      <c r="C716" s="94" t="s">
        <v>930</v>
      </c>
      <c r="D716" s="94" t="s">
        <v>247</v>
      </c>
      <c r="E716" s="96">
        <v>34028</v>
      </c>
      <c r="F716" s="97">
        <f t="shared" ca="1" si="22"/>
        <v>23</v>
      </c>
      <c r="G716" s="98"/>
      <c r="H716" s="99">
        <v>87830</v>
      </c>
      <c r="I716" s="100">
        <v>2</v>
      </c>
    </row>
    <row r="717" spans="1:9" ht="13.5" x14ac:dyDescent="0.25">
      <c r="A717" s="94" t="s">
        <v>930</v>
      </c>
      <c r="B717" s="95" t="s">
        <v>271</v>
      </c>
      <c r="C717" s="94" t="s">
        <v>930</v>
      </c>
      <c r="D717" s="94" t="s">
        <v>256</v>
      </c>
      <c r="E717" s="96">
        <v>34054</v>
      </c>
      <c r="F717" s="97">
        <f t="shared" ca="1" si="22"/>
        <v>23</v>
      </c>
      <c r="G717" s="98" t="s">
        <v>257</v>
      </c>
      <c r="H717" s="99">
        <v>27130</v>
      </c>
      <c r="I717" s="100">
        <v>5</v>
      </c>
    </row>
    <row r="718" spans="1:9" ht="13.5" x14ac:dyDescent="0.25">
      <c r="A718" s="94" t="s">
        <v>930</v>
      </c>
      <c r="B718" s="95" t="s">
        <v>285</v>
      </c>
      <c r="C718" s="94" t="s">
        <v>930</v>
      </c>
      <c r="D718" s="94" t="s">
        <v>261</v>
      </c>
      <c r="E718" s="96">
        <v>34156</v>
      </c>
      <c r="F718" s="97">
        <f t="shared" ca="1" si="22"/>
        <v>23</v>
      </c>
      <c r="G718" s="98" t="s">
        <v>262</v>
      </c>
      <c r="H718" s="99">
        <v>37660</v>
      </c>
      <c r="I718" s="100">
        <v>4</v>
      </c>
    </row>
    <row r="719" spans="1:9" ht="13.5" x14ac:dyDescent="0.25">
      <c r="A719" s="94" t="s">
        <v>930</v>
      </c>
      <c r="B719" s="95" t="s">
        <v>245</v>
      </c>
      <c r="C719" s="94" t="s">
        <v>930</v>
      </c>
      <c r="D719" s="94" t="s">
        <v>261</v>
      </c>
      <c r="E719" s="96">
        <v>34208</v>
      </c>
      <c r="F719" s="97">
        <f t="shared" ca="1" si="22"/>
        <v>23</v>
      </c>
      <c r="G719" s="98" t="s">
        <v>262</v>
      </c>
      <c r="H719" s="99">
        <v>13690</v>
      </c>
      <c r="I719" s="100">
        <v>5</v>
      </c>
    </row>
    <row r="720" spans="1:9" ht="13.5" x14ac:dyDescent="0.25">
      <c r="A720" s="94" t="s">
        <v>930</v>
      </c>
      <c r="B720" s="95" t="s">
        <v>285</v>
      </c>
      <c r="C720" s="94" t="s">
        <v>930</v>
      </c>
      <c r="D720" s="94" t="s">
        <v>252</v>
      </c>
      <c r="E720" s="96">
        <v>34266</v>
      </c>
      <c r="F720" s="97">
        <f t="shared" ca="1" si="22"/>
        <v>23</v>
      </c>
      <c r="G720" s="98"/>
      <c r="H720" s="99">
        <v>28768</v>
      </c>
      <c r="I720" s="100">
        <v>3</v>
      </c>
    </row>
    <row r="721" spans="1:9" ht="13.5" x14ac:dyDescent="0.25">
      <c r="A721" s="94" t="s">
        <v>930</v>
      </c>
      <c r="B721" s="95" t="s">
        <v>285</v>
      </c>
      <c r="C721" s="94" t="s">
        <v>930</v>
      </c>
      <c r="D721" s="94" t="s">
        <v>256</v>
      </c>
      <c r="E721" s="96">
        <v>34317</v>
      </c>
      <c r="F721" s="97">
        <f t="shared" ca="1" si="22"/>
        <v>22</v>
      </c>
      <c r="G721" s="98" t="s">
        <v>283</v>
      </c>
      <c r="H721" s="99">
        <v>41380</v>
      </c>
      <c r="I721" s="100">
        <v>2</v>
      </c>
    </row>
    <row r="722" spans="1:9" ht="13.5" x14ac:dyDescent="0.25">
      <c r="A722" s="94" t="s">
        <v>930</v>
      </c>
      <c r="B722" s="95" t="s">
        <v>266</v>
      </c>
      <c r="C722" s="94" t="s">
        <v>930</v>
      </c>
      <c r="D722" s="94" t="s">
        <v>256</v>
      </c>
      <c r="E722" s="96">
        <v>34466</v>
      </c>
      <c r="F722" s="97">
        <f t="shared" ca="1" si="22"/>
        <v>22</v>
      </c>
      <c r="G722" s="98" t="s">
        <v>257</v>
      </c>
      <c r="H722" s="99">
        <v>86320</v>
      </c>
      <c r="I722" s="100">
        <v>4</v>
      </c>
    </row>
    <row r="723" spans="1:9" ht="13.5" x14ac:dyDescent="0.25">
      <c r="A723" s="94" t="s">
        <v>930</v>
      </c>
      <c r="B723" s="95" t="s">
        <v>285</v>
      </c>
      <c r="C723" s="94" t="s">
        <v>930</v>
      </c>
      <c r="D723" s="94" t="s">
        <v>247</v>
      </c>
      <c r="E723" s="96">
        <v>34516</v>
      </c>
      <c r="F723" s="97">
        <f t="shared" ca="1" si="22"/>
        <v>22</v>
      </c>
      <c r="G723" s="98"/>
      <c r="H723" s="99">
        <v>45030</v>
      </c>
      <c r="I723" s="100">
        <v>3</v>
      </c>
    </row>
    <row r="724" spans="1:9" ht="13.5" x14ac:dyDescent="0.25">
      <c r="A724" s="94" t="s">
        <v>930</v>
      </c>
      <c r="B724" s="95" t="s">
        <v>285</v>
      </c>
      <c r="C724" s="94" t="s">
        <v>930</v>
      </c>
      <c r="D724" s="94" t="s">
        <v>256</v>
      </c>
      <c r="E724" s="96">
        <v>34715</v>
      </c>
      <c r="F724" s="97">
        <f t="shared" ca="1" si="22"/>
        <v>21</v>
      </c>
      <c r="G724" s="98" t="s">
        <v>262</v>
      </c>
      <c r="H724" s="99">
        <v>64470</v>
      </c>
      <c r="I724" s="100">
        <v>5</v>
      </c>
    </row>
    <row r="725" spans="1:9" ht="13.5" x14ac:dyDescent="0.25">
      <c r="A725" s="94" t="s">
        <v>930</v>
      </c>
      <c r="B725" s="95" t="s">
        <v>280</v>
      </c>
      <c r="C725" s="94" t="s">
        <v>930</v>
      </c>
      <c r="D725" s="94" t="s">
        <v>261</v>
      </c>
      <c r="E725" s="96">
        <v>34743</v>
      </c>
      <c r="F725" s="97">
        <f t="shared" ca="1" si="22"/>
        <v>21</v>
      </c>
      <c r="G725" s="98" t="s">
        <v>276</v>
      </c>
      <c r="H725" s="99">
        <v>46105</v>
      </c>
      <c r="I725" s="100">
        <v>5</v>
      </c>
    </row>
    <row r="726" spans="1:9" ht="13.5" x14ac:dyDescent="0.25">
      <c r="A726" s="94" t="s">
        <v>930</v>
      </c>
      <c r="B726" s="95" t="s">
        <v>251</v>
      </c>
      <c r="C726" s="94" t="s">
        <v>930</v>
      </c>
      <c r="D726" s="94" t="s">
        <v>256</v>
      </c>
      <c r="E726" s="96">
        <v>34770</v>
      </c>
      <c r="F726" s="97">
        <f t="shared" ca="1" si="22"/>
        <v>21</v>
      </c>
      <c r="G726" s="98" t="s">
        <v>283</v>
      </c>
      <c r="H726" s="99">
        <v>48410</v>
      </c>
      <c r="I726" s="100">
        <v>5</v>
      </c>
    </row>
    <row r="727" spans="1:9" ht="13.5" x14ac:dyDescent="0.25">
      <c r="A727" s="94" t="s">
        <v>930</v>
      </c>
      <c r="B727" s="95" t="s">
        <v>245</v>
      </c>
      <c r="C727" s="94" t="s">
        <v>930</v>
      </c>
      <c r="D727" s="94" t="s">
        <v>247</v>
      </c>
      <c r="E727" s="96">
        <v>34883</v>
      </c>
      <c r="F727" s="97">
        <f t="shared" ca="1" si="22"/>
        <v>21</v>
      </c>
      <c r="G727" s="98"/>
      <c r="H727" s="99">
        <v>58250</v>
      </c>
      <c r="I727" s="100">
        <v>2</v>
      </c>
    </row>
    <row r="728" spans="1:9" ht="13.5" x14ac:dyDescent="0.25">
      <c r="A728" s="94" t="s">
        <v>930</v>
      </c>
      <c r="B728" s="95" t="s">
        <v>280</v>
      </c>
      <c r="C728" s="94" t="s">
        <v>930</v>
      </c>
      <c r="D728" s="94" t="s">
        <v>256</v>
      </c>
      <c r="E728" s="96">
        <v>34933</v>
      </c>
      <c r="F728" s="97">
        <f t="shared" ca="1" si="22"/>
        <v>21</v>
      </c>
      <c r="G728" s="98" t="s">
        <v>276</v>
      </c>
      <c r="H728" s="99">
        <v>77680</v>
      </c>
      <c r="I728" s="100">
        <v>3</v>
      </c>
    </row>
    <row r="729" spans="1:9" ht="13.5" x14ac:dyDescent="0.25">
      <c r="A729" s="94" t="s">
        <v>930</v>
      </c>
      <c r="B729" s="95" t="s">
        <v>271</v>
      </c>
      <c r="C729" s="94" t="s">
        <v>930</v>
      </c>
      <c r="D729" s="94" t="s">
        <v>256</v>
      </c>
      <c r="E729" s="96">
        <v>35020</v>
      </c>
      <c r="F729" s="97">
        <f t="shared" ca="1" si="22"/>
        <v>20</v>
      </c>
      <c r="G729" s="98" t="s">
        <v>276</v>
      </c>
      <c r="H729" s="99">
        <v>61850</v>
      </c>
      <c r="I729" s="100">
        <v>2</v>
      </c>
    </row>
    <row r="730" spans="1:9" ht="13.5" x14ac:dyDescent="0.25">
      <c r="A730" s="94" t="s">
        <v>930</v>
      </c>
      <c r="B730" s="95" t="s">
        <v>251</v>
      </c>
      <c r="C730" s="94" t="s">
        <v>930</v>
      </c>
      <c r="D730" s="94" t="s">
        <v>261</v>
      </c>
      <c r="E730" s="96">
        <v>35055</v>
      </c>
      <c r="F730" s="97">
        <f t="shared" ca="1" si="22"/>
        <v>20</v>
      </c>
      <c r="G730" s="98" t="s">
        <v>267</v>
      </c>
      <c r="H730" s="99">
        <v>19825</v>
      </c>
      <c r="I730" s="100">
        <v>2</v>
      </c>
    </row>
    <row r="731" spans="1:9" ht="13.5" x14ac:dyDescent="0.25">
      <c r="A731" s="94" t="s">
        <v>930</v>
      </c>
      <c r="B731" s="95" t="s">
        <v>266</v>
      </c>
      <c r="C731" s="94" t="s">
        <v>930</v>
      </c>
      <c r="D731" s="94" t="s">
        <v>252</v>
      </c>
      <c r="E731" s="96">
        <v>35148</v>
      </c>
      <c r="F731" s="97">
        <f t="shared" ca="1" si="22"/>
        <v>20</v>
      </c>
      <c r="G731" s="98"/>
      <c r="H731" s="99">
        <v>32536</v>
      </c>
      <c r="I731" s="100">
        <v>2</v>
      </c>
    </row>
    <row r="732" spans="1:9" ht="13.5" x14ac:dyDescent="0.25">
      <c r="A732" s="94" t="s">
        <v>930</v>
      </c>
      <c r="B732" s="95" t="s">
        <v>285</v>
      </c>
      <c r="C732" s="94" t="s">
        <v>930</v>
      </c>
      <c r="D732" s="94" t="s">
        <v>261</v>
      </c>
      <c r="E732" s="96">
        <v>35152</v>
      </c>
      <c r="F732" s="97">
        <f t="shared" ca="1" si="22"/>
        <v>20</v>
      </c>
      <c r="G732" s="98" t="s">
        <v>283</v>
      </c>
      <c r="H732" s="99">
        <v>26185</v>
      </c>
      <c r="I732" s="100">
        <v>5</v>
      </c>
    </row>
    <row r="733" spans="1:9" ht="13.5" x14ac:dyDescent="0.25">
      <c r="A733" s="94" t="s">
        <v>930</v>
      </c>
      <c r="B733" s="95" t="s">
        <v>285</v>
      </c>
      <c r="C733" s="94" t="s">
        <v>930</v>
      </c>
      <c r="D733" s="94" t="s">
        <v>256</v>
      </c>
      <c r="E733" s="96">
        <v>35239</v>
      </c>
      <c r="F733" s="97">
        <f t="shared" ca="1" si="22"/>
        <v>20</v>
      </c>
      <c r="G733" s="98" t="s">
        <v>283</v>
      </c>
      <c r="H733" s="99">
        <v>35460</v>
      </c>
      <c r="I733" s="100">
        <v>1</v>
      </c>
    </row>
    <row r="734" spans="1:9" ht="13.5" x14ac:dyDescent="0.25">
      <c r="A734" s="94" t="s">
        <v>930</v>
      </c>
      <c r="B734" s="95" t="s">
        <v>285</v>
      </c>
      <c r="C734" s="94" t="s">
        <v>930</v>
      </c>
      <c r="D734" s="94" t="s">
        <v>256</v>
      </c>
      <c r="E734" s="96">
        <v>35309</v>
      </c>
      <c r="F734" s="97">
        <f t="shared" ca="1" si="22"/>
        <v>20</v>
      </c>
      <c r="G734" s="98" t="s">
        <v>262</v>
      </c>
      <c r="H734" s="99">
        <v>71970</v>
      </c>
      <c r="I734" s="100">
        <v>4</v>
      </c>
    </row>
    <row r="735" spans="1:9" ht="13.5" x14ac:dyDescent="0.25">
      <c r="A735" s="94" t="s">
        <v>930</v>
      </c>
      <c r="B735" s="95" t="s">
        <v>285</v>
      </c>
      <c r="C735" s="94" t="s">
        <v>930</v>
      </c>
      <c r="D735" s="94" t="s">
        <v>256</v>
      </c>
      <c r="E735" s="96">
        <v>35362</v>
      </c>
      <c r="F735" s="97">
        <f t="shared" ca="1" si="22"/>
        <v>20</v>
      </c>
      <c r="G735" s="98" t="s">
        <v>262</v>
      </c>
      <c r="H735" s="99">
        <v>65320</v>
      </c>
      <c r="I735" s="100">
        <v>5</v>
      </c>
    </row>
    <row r="736" spans="1:9" ht="13.5" x14ac:dyDescent="0.25">
      <c r="A736" s="94" t="s">
        <v>930</v>
      </c>
      <c r="B736" s="95" t="s">
        <v>251</v>
      </c>
      <c r="C736" s="94" t="s">
        <v>930</v>
      </c>
      <c r="D736" s="94" t="s">
        <v>256</v>
      </c>
      <c r="E736" s="96">
        <v>35533</v>
      </c>
      <c r="F736" s="97">
        <f t="shared" ca="1" si="22"/>
        <v>19</v>
      </c>
      <c r="G736" s="98" t="s">
        <v>283</v>
      </c>
      <c r="H736" s="99">
        <v>47630</v>
      </c>
      <c r="I736" s="100">
        <v>3</v>
      </c>
    </row>
    <row r="737" spans="1:9" ht="13.5" x14ac:dyDescent="0.25">
      <c r="A737" s="94" t="s">
        <v>930</v>
      </c>
      <c r="B737" s="95" t="s">
        <v>285</v>
      </c>
      <c r="C737" s="94" t="s">
        <v>930</v>
      </c>
      <c r="D737" s="94" t="s">
        <v>261</v>
      </c>
      <c r="E737" s="96">
        <v>35608</v>
      </c>
      <c r="F737" s="97">
        <f t="shared" ca="1" si="22"/>
        <v>19</v>
      </c>
      <c r="G737" s="98" t="s">
        <v>257</v>
      </c>
      <c r="H737" s="99">
        <v>17205</v>
      </c>
      <c r="I737" s="100">
        <v>5</v>
      </c>
    </row>
    <row r="738" spans="1:9" ht="13.5" x14ac:dyDescent="0.25">
      <c r="A738" s="94" t="s">
        <v>930</v>
      </c>
      <c r="B738" s="95" t="s">
        <v>285</v>
      </c>
      <c r="C738" s="94" t="s">
        <v>930</v>
      </c>
      <c r="D738" s="94" t="s">
        <v>256</v>
      </c>
      <c r="E738" s="96">
        <v>35646</v>
      </c>
      <c r="F738" s="97">
        <f t="shared" ca="1" si="22"/>
        <v>19</v>
      </c>
      <c r="G738" s="98" t="s">
        <v>276</v>
      </c>
      <c r="H738" s="99">
        <v>49930</v>
      </c>
      <c r="I738" s="100">
        <v>1</v>
      </c>
    </row>
    <row r="739" spans="1:9" ht="13.5" x14ac:dyDescent="0.25">
      <c r="A739" s="94" t="s">
        <v>930</v>
      </c>
      <c r="B739" s="95" t="s">
        <v>285</v>
      </c>
      <c r="C739" s="94" t="s">
        <v>930</v>
      </c>
      <c r="D739" s="94" t="s">
        <v>256</v>
      </c>
      <c r="E739" s="96">
        <v>35657</v>
      </c>
      <c r="F739" s="97">
        <f t="shared" ca="1" si="22"/>
        <v>19</v>
      </c>
      <c r="G739" s="98" t="s">
        <v>257</v>
      </c>
      <c r="H739" s="99">
        <v>63060</v>
      </c>
      <c r="I739" s="100">
        <v>4</v>
      </c>
    </row>
    <row r="740" spans="1:9" ht="13.5" x14ac:dyDescent="0.25">
      <c r="A740" s="94" t="s">
        <v>930</v>
      </c>
      <c r="B740" s="95" t="s">
        <v>251</v>
      </c>
      <c r="C740" s="94" t="s">
        <v>930</v>
      </c>
      <c r="D740" s="94" t="s">
        <v>256</v>
      </c>
      <c r="E740" s="96">
        <v>35699</v>
      </c>
      <c r="F740" s="97">
        <f t="shared" ref="F740:F771" ca="1" si="23">DATEDIF(E740,TODAY(),"Y")</f>
        <v>19</v>
      </c>
      <c r="G740" s="98" t="s">
        <v>283</v>
      </c>
      <c r="H740" s="99">
        <v>78710</v>
      </c>
      <c r="I740" s="100">
        <v>2</v>
      </c>
    </row>
    <row r="741" spans="1:9" ht="13.5" x14ac:dyDescent="0.25">
      <c r="A741" s="94" t="s">
        <v>930</v>
      </c>
      <c r="B741" s="95" t="s">
        <v>266</v>
      </c>
      <c r="C741" s="94" t="s">
        <v>930</v>
      </c>
      <c r="D741" s="94" t="s">
        <v>247</v>
      </c>
      <c r="E741" s="96">
        <v>35755</v>
      </c>
      <c r="F741" s="97">
        <f t="shared" ca="1" si="23"/>
        <v>18</v>
      </c>
      <c r="G741" s="98"/>
      <c r="H741" s="99">
        <v>77136</v>
      </c>
      <c r="I741" s="100">
        <v>5</v>
      </c>
    </row>
    <row r="742" spans="1:9" ht="13.5" x14ac:dyDescent="0.25">
      <c r="A742" s="94" t="s">
        <v>930</v>
      </c>
      <c r="B742" s="95" t="s">
        <v>271</v>
      </c>
      <c r="C742" s="94" t="s">
        <v>930</v>
      </c>
      <c r="D742" s="94" t="s">
        <v>247</v>
      </c>
      <c r="E742" s="96">
        <v>35789</v>
      </c>
      <c r="F742" s="97">
        <f t="shared" ca="1" si="23"/>
        <v>18</v>
      </c>
      <c r="G742" s="98"/>
      <c r="H742" s="99">
        <v>28270</v>
      </c>
      <c r="I742" s="100">
        <v>5</v>
      </c>
    </row>
    <row r="743" spans="1:9" ht="13.5" x14ac:dyDescent="0.25">
      <c r="A743" s="94" t="s">
        <v>930</v>
      </c>
      <c r="B743" s="95" t="s">
        <v>266</v>
      </c>
      <c r="C743" s="94" t="s">
        <v>930</v>
      </c>
      <c r="D743" s="94" t="s">
        <v>247</v>
      </c>
      <c r="E743" s="96">
        <v>35831</v>
      </c>
      <c r="F743" s="97">
        <f t="shared" ca="1" si="23"/>
        <v>18</v>
      </c>
      <c r="G743" s="98"/>
      <c r="H743" s="99">
        <v>25530</v>
      </c>
      <c r="I743" s="100">
        <v>3</v>
      </c>
    </row>
    <row r="744" spans="1:9" ht="13.5" x14ac:dyDescent="0.25">
      <c r="A744" s="94" t="s">
        <v>930</v>
      </c>
      <c r="B744" s="95" t="s">
        <v>266</v>
      </c>
      <c r="C744" s="94" t="s">
        <v>930</v>
      </c>
      <c r="D744" s="94" t="s">
        <v>247</v>
      </c>
      <c r="E744" s="96">
        <v>36143</v>
      </c>
      <c r="F744" s="97">
        <f t="shared" ca="1" si="23"/>
        <v>17</v>
      </c>
      <c r="G744" s="98"/>
      <c r="H744" s="99">
        <v>49090</v>
      </c>
      <c r="I744" s="100">
        <v>4</v>
      </c>
    </row>
    <row r="745" spans="1:9" ht="13.5" x14ac:dyDescent="0.25">
      <c r="A745" s="94" t="s">
        <v>930</v>
      </c>
      <c r="B745" s="95" t="s">
        <v>251</v>
      </c>
      <c r="C745" s="94" t="s">
        <v>930</v>
      </c>
      <c r="D745" s="94" t="s">
        <v>256</v>
      </c>
      <c r="E745" s="96">
        <v>36185</v>
      </c>
      <c r="F745" s="97">
        <f t="shared" ca="1" si="23"/>
        <v>17</v>
      </c>
      <c r="G745" s="98" t="s">
        <v>276</v>
      </c>
      <c r="H745" s="99">
        <v>60300</v>
      </c>
      <c r="I745" s="100">
        <v>2</v>
      </c>
    </row>
    <row r="746" spans="1:9" ht="13.5" x14ac:dyDescent="0.25">
      <c r="A746" s="94" t="s">
        <v>930</v>
      </c>
      <c r="B746" s="95" t="s">
        <v>285</v>
      </c>
      <c r="C746" s="94" t="s">
        <v>930</v>
      </c>
      <c r="D746" s="94" t="s">
        <v>256</v>
      </c>
      <c r="E746" s="96">
        <v>36500</v>
      </c>
      <c r="F746" s="97">
        <f t="shared" ca="1" si="23"/>
        <v>16</v>
      </c>
      <c r="G746" s="98" t="s">
        <v>283</v>
      </c>
      <c r="H746" s="99">
        <v>48010</v>
      </c>
      <c r="I746" s="100">
        <v>3</v>
      </c>
    </row>
    <row r="747" spans="1:9" ht="13.5" x14ac:dyDescent="0.25">
      <c r="A747" s="94" t="s">
        <v>930</v>
      </c>
      <c r="B747" s="95" t="s">
        <v>285</v>
      </c>
      <c r="C747" s="94" t="s">
        <v>930</v>
      </c>
      <c r="D747" s="94" t="s">
        <v>256</v>
      </c>
      <c r="E747" s="96">
        <v>37018</v>
      </c>
      <c r="F747" s="97">
        <f t="shared" ca="1" si="23"/>
        <v>15</v>
      </c>
      <c r="G747" s="98" t="s">
        <v>262</v>
      </c>
      <c r="H747" s="99">
        <v>48280</v>
      </c>
      <c r="I747" s="100">
        <v>4</v>
      </c>
    </row>
    <row r="748" spans="1:9" ht="13.5" x14ac:dyDescent="0.25">
      <c r="A748" s="94" t="s">
        <v>930</v>
      </c>
      <c r="B748" s="95" t="s">
        <v>245</v>
      </c>
      <c r="C748" s="94" t="s">
        <v>930</v>
      </c>
      <c r="D748" s="94" t="s">
        <v>256</v>
      </c>
      <c r="E748" s="96">
        <v>37037</v>
      </c>
      <c r="F748" s="97">
        <f t="shared" ca="1" si="23"/>
        <v>15</v>
      </c>
      <c r="G748" s="98" t="s">
        <v>283</v>
      </c>
      <c r="H748" s="99">
        <v>81340</v>
      </c>
      <c r="I748" s="100">
        <v>2</v>
      </c>
    </row>
    <row r="749" spans="1:9" ht="13.5" x14ac:dyDescent="0.25">
      <c r="A749" s="94" t="s">
        <v>930</v>
      </c>
      <c r="B749" s="95" t="s">
        <v>280</v>
      </c>
      <c r="C749" s="94" t="s">
        <v>930</v>
      </c>
      <c r="D749" s="94" t="s">
        <v>247</v>
      </c>
      <c r="E749" s="96">
        <v>37128</v>
      </c>
      <c r="F749" s="97">
        <f t="shared" ca="1" si="23"/>
        <v>15</v>
      </c>
      <c r="G749" s="98"/>
      <c r="H749" s="99">
        <v>32880</v>
      </c>
      <c r="I749" s="100">
        <v>3</v>
      </c>
    </row>
    <row r="750" spans="1:9" ht="13.5" x14ac:dyDescent="0.25">
      <c r="A750" s="94" t="s">
        <v>930</v>
      </c>
      <c r="B750" s="95" t="s">
        <v>251</v>
      </c>
      <c r="C750" s="94" t="s">
        <v>930</v>
      </c>
      <c r="D750" s="94" t="s">
        <v>256</v>
      </c>
      <c r="E750" s="96">
        <v>37316</v>
      </c>
      <c r="F750" s="97">
        <f t="shared" ca="1" si="23"/>
        <v>14</v>
      </c>
      <c r="G750" s="98" t="s">
        <v>257</v>
      </c>
      <c r="H750" s="99">
        <v>44530</v>
      </c>
      <c r="I750" s="100">
        <v>2</v>
      </c>
    </row>
    <row r="751" spans="1:9" ht="13.5" x14ac:dyDescent="0.25">
      <c r="A751" s="94" t="s">
        <v>930</v>
      </c>
      <c r="B751" s="95" t="s">
        <v>245</v>
      </c>
      <c r="C751" s="94" t="s">
        <v>930</v>
      </c>
      <c r="D751" s="94" t="s">
        <v>252</v>
      </c>
      <c r="E751" s="96">
        <v>37336</v>
      </c>
      <c r="F751" s="97">
        <f t="shared" ca="1" si="23"/>
        <v>14</v>
      </c>
      <c r="G751" s="98"/>
      <c r="H751" s="99">
        <v>37344</v>
      </c>
      <c r="I751" s="100">
        <v>2</v>
      </c>
    </row>
    <row r="752" spans="1:9" ht="13.5" x14ac:dyDescent="0.25">
      <c r="A752" s="94" t="s">
        <v>930</v>
      </c>
      <c r="B752" s="95" t="s">
        <v>280</v>
      </c>
      <c r="C752" s="94" t="s">
        <v>930</v>
      </c>
      <c r="D752" s="94" t="s">
        <v>256</v>
      </c>
      <c r="E752" s="96">
        <v>37861</v>
      </c>
      <c r="F752" s="97">
        <f t="shared" ca="1" si="23"/>
        <v>13</v>
      </c>
      <c r="G752" s="98" t="s">
        <v>267</v>
      </c>
      <c r="H752" s="99">
        <v>25690</v>
      </c>
      <c r="I752" s="100">
        <v>2</v>
      </c>
    </row>
    <row r="753" spans="1:9" ht="13.5" x14ac:dyDescent="0.25">
      <c r="A753" s="94" t="s">
        <v>930</v>
      </c>
      <c r="B753" s="95" t="s">
        <v>285</v>
      </c>
      <c r="C753" s="94" t="s">
        <v>930</v>
      </c>
      <c r="D753" s="94" t="s">
        <v>256</v>
      </c>
      <c r="E753" s="96">
        <v>37973</v>
      </c>
      <c r="F753" s="97">
        <f t="shared" ca="1" si="23"/>
        <v>12</v>
      </c>
      <c r="G753" s="98" t="s">
        <v>257</v>
      </c>
      <c r="H753" s="99">
        <v>24980</v>
      </c>
      <c r="I753" s="100">
        <v>3</v>
      </c>
    </row>
    <row r="754" spans="1:9" ht="13.5" x14ac:dyDescent="0.25">
      <c r="A754" s="94" t="s">
        <v>930</v>
      </c>
      <c r="B754" s="95" t="s">
        <v>280</v>
      </c>
      <c r="C754" s="94" t="s">
        <v>930</v>
      </c>
      <c r="D754" s="94" t="s">
        <v>256</v>
      </c>
      <c r="E754" s="96">
        <v>38131</v>
      </c>
      <c r="F754" s="97">
        <f t="shared" ca="1" si="23"/>
        <v>12</v>
      </c>
      <c r="G754" s="98" t="s">
        <v>262</v>
      </c>
      <c r="H754" s="99">
        <v>68860</v>
      </c>
      <c r="I754" s="100">
        <v>2</v>
      </c>
    </row>
    <row r="755" spans="1:9" ht="13.5" x14ac:dyDescent="0.25">
      <c r="A755" s="94" t="s">
        <v>930</v>
      </c>
      <c r="B755" s="95" t="s">
        <v>280</v>
      </c>
      <c r="C755" s="94" t="s">
        <v>930</v>
      </c>
      <c r="D755" s="94" t="s">
        <v>261</v>
      </c>
      <c r="E755" s="96">
        <v>38225</v>
      </c>
      <c r="F755" s="97">
        <f t="shared" ca="1" si="23"/>
        <v>12</v>
      </c>
      <c r="G755" s="98" t="s">
        <v>276</v>
      </c>
      <c r="H755" s="99">
        <v>49080</v>
      </c>
      <c r="I755" s="100">
        <v>5</v>
      </c>
    </row>
    <row r="756" spans="1:9" ht="13.5" x14ac:dyDescent="0.25">
      <c r="A756" s="94" t="s">
        <v>930</v>
      </c>
      <c r="B756" s="95" t="s">
        <v>245</v>
      </c>
      <c r="C756" s="94" t="s">
        <v>930</v>
      </c>
      <c r="D756" s="94" t="s">
        <v>256</v>
      </c>
      <c r="E756" s="96">
        <v>38292</v>
      </c>
      <c r="F756" s="97">
        <f t="shared" ca="1" si="23"/>
        <v>12</v>
      </c>
      <c r="G756" s="98" t="s">
        <v>257</v>
      </c>
      <c r="H756" s="99">
        <v>79380</v>
      </c>
      <c r="I756" s="100">
        <v>5</v>
      </c>
    </row>
    <row r="757" spans="1:9" ht="13.5" x14ac:dyDescent="0.25">
      <c r="A757" s="94" t="s">
        <v>930</v>
      </c>
      <c r="B757" s="95" t="s">
        <v>280</v>
      </c>
      <c r="C757" s="94" t="s">
        <v>930</v>
      </c>
      <c r="D757" s="94" t="s">
        <v>256</v>
      </c>
      <c r="E757" s="96">
        <v>38369</v>
      </c>
      <c r="F757" s="97">
        <f t="shared" ca="1" si="23"/>
        <v>11</v>
      </c>
      <c r="G757" s="98" t="s">
        <v>257</v>
      </c>
      <c r="H757" s="99">
        <v>22820</v>
      </c>
      <c r="I757" s="100">
        <v>5</v>
      </c>
    </row>
    <row r="758" spans="1:9" ht="13.5" x14ac:dyDescent="0.25">
      <c r="A758" s="94" t="s">
        <v>930</v>
      </c>
      <c r="B758" s="95" t="s">
        <v>245</v>
      </c>
      <c r="C758" s="94" t="s">
        <v>930</v>
      </c>
      <c r="D758" s="94" t="s">
        <v>247</v>
      </c>
      <c r="E758" s="96">
        <v>38418</v>
      </c>
      <c r="F758" s="97">
        <f t="shared" ca="1" si="23"/>
        <v>11</v>
      </c>
      <c r="G758" s="98"/>
      <c r="H758" s="99">
        <v>86040</v>
      </c>
      <c r="I758" s="100">
        <v>5</v>
      </c>
    </row>
    <row r="759" spans="1:9" ht="13.5" x14ac:dyDescent="0.25">
      <c r="A759" s="94" t="s">
        <v>930</v>
      </c>
      <c r="B759" s="95" t="s">
        <v>285</v>
      </c>
      <c r="C759" s="94" t="s">
        <v>930</v>
      </c>
      <c r="D759" s="94" t="s">
        <v>256</v>
      </c>
      <c r="E759" s="96">
        <v>38418</v>
      </c>
      <c r="F759" s="97">
        <f t="shared" ca="1" si="23"/>
        <v>11</v>
      </c>
      <c r="G759" s="98" t="s">
        <v>257</v>
      </c>
      <c r="H759" s="99">
        <v>82370</v>
      </c>
      <c r="I759" s="100">
        <v>5</v>
      </c>
    </row>
    <row r="760" spans="1:9" ht="13.5" x14ac:dyDescent="0.25">
      <c r="A760" s="94" t="s">
        <v>930</v>
      </c>
      <c r="B760" s="95" t="s">
        <v>271</v>
      </c>
      <c r="C760" s="94" t="s">
        <v>930</v>
      </c>
      <c r="D760" s="94" t="s">
        <v>256</v>
      </c>
      <c r="E760" s="96">
        <v>38708</v>
      </c>
      <c r="F760" s="97">
        <f t="shared" ca="1" si="23"/>
        <v>10</v>
      </c>
      <c r="G760" s="98" t="s">
        <v>283</v>
      </c>
      <c r="H760" s="99">
        <v>34990</v>
      </c>
      <c r="I760" s="100">
        <v>3</v>
      </c>
    </row>
    <row r="761" spans="1:9" ht="13.5" x14ac:dyDescent="0.25">
      <c r="A761" s="94" t="s">
        <v>930</v>
      </c>
      <c r="B761" s="95" t="s">
        <v>285</v>
      </c>
      <c r="C761" s="94" t="s">
        <v>930</v>
      </c>
      <c r="D761" s="94" t="s">
        <v>247</v>
      </c>
      <c r="E761" s="96">
        <v>38925</v>
      </c>
      <c r="F761" s="97">
        <f t="shared" ca="1" si="23"/>
        <v>10</v>
      </c>
      <c r="G761" s="98"/>
      <c r="H761" s="99">
        <v>80729</v>
      </c>
      <c r="I761" s="100">
        <v>3</v>
      </c>
    </row>
    <row r="762" spans="1:9" ht="13.5" x14ac:dyDescent="0.25">
      <c r="A762" s="94" t="s">
        <v>930</v>
      </c>
      <c r="B762" s="95" t="s">
        <v>266</v>
      </c>
      <c r="C762" s="94" t="s">
        <v>930</v>
      </c>
      <c r="D762" s="94" t="s">
        <v>247</v>
      </c>
      <c r="E762" s="102">
        <v>39024</v>
      </c>
      <c r="F762" s="97">
        <f t="shared" ca="1" si="23"/>
        <v>10</v>
      </c>
      <c r="G762" s="98"/>
      <c r="H762" s="99">
        <v>47280</v>
      </c>
      <c r="I762" s="100">
        <v>1</v>
      </c>
    </row>
    <row r="763" spans="1:9" ht="13.5" x14ac:dyDescent="0.25">
      <c r="A763" s="94" t="s">
        <v>930</v>
      </c>
      <c r="B763" s="95" t="s">
        <v>285</v>
      </c>
      <c r="C763" s="94" t="s">
        <v>930</v>
      </c>
      <c r="D763" s="94" t="s">
        <v>247</v>
      </c>
      <c r="E763" s="96">
        <v>39213</v>
      </c>
      <c r="F763" s="97">
        <f t="shared" ca="1" si="23"/>
        <v>9</v>
      </c>
      <c r="G763" s="98"/>
      <c r="H763" s="99">
        <v>46570</v>
      </c>
      <c r="I763" s="100">
        <v>4</v>
      </c>
    </row>
    <row r="764" spans="1:9" ht="13.5" x14ac:dyDescent="0.25">
      <c r="A764" s="94" t="s">
        <v>930</v>
      </c>
      <c r="B764" s="95" t="s">
        <v>266</v>
      </c>
      <c r="C764" s="94" t="s">
        <v>930</v>
      </c>
      <c r="D764" s="94" t="s">
        <v>256</v>
      </c>
      <c r="E764" s="102">
        <v>39226</v>
      </c>
      <c r="F764" s="97">
        <f t="shared" ca="1" si="23"/>
        <v>9</v>
      </c>
      <c r="G764" s="98" t="s">
        <v>283</v>
      </c>
      <c r="H764" s="99">
        <v>70730</v>
      </c>
      <c r="I764" s="100">
        <v>1</v>
      </c>
    </row>
    <row r="765" spans="1:9" ht="13.5" x14ac:dyDescent="0.25">
      <c r="A765" s="94" t="s">
        <v>930</v>
      </c>
      <c r="B765" s="95" t="s">
        <v>285</v>
      </c>
      <c r="C765" s="94" t="s">
        <v>930</v>
      </c>
      <c r="D765" s="94" t="s">
        <v>247</v>
      </c>
      <c r="E765" s="102">
        <v>39253</v>
      </c>
      <c r="F765" s="97">
        <f t="shared" ca="1" si="23"/>
        <v>9</v>
      </c>
      <c r="G765" s="98"/>
      <c r="H765" s="99">
        <v>55510</v>
      </c>
      <c r="I765" s="100">
        <v>3</v>
      </c>
    </row>
    <row r="766" spans="1:9" ht="13.5" x14ac:dyDescent="0.25">
      <c r="A766" s="94" t="s">
        <v>930</v>
      </c>
      <c r="B766" s="95" t="s">
        <v>285</v>
      </c>
      <c r="C766" s="94" t="s">
        <v>930</v>
      </c>
      <c r="D766" s="94" t="s">
        <v>256</v>
      </c>
      <c r="E766" s="96">
        <v>39258</v>
      </c>
      <c r="F766" s="97">
        <f t="shared" ca="1" si="23"/>
        <v>9</v>
      </c>
      <c r="G766" s="98" t="s">
        <v>257</v>
      </c>
      <c r="H766" s="99">
        <v>46390</v>
      </c>
      <c r="I766" s="100">
        <v>5</v>
      </c>
    </row>
    <row r="767" spans="1:9" ht="13.5" x14ac:dyDescent="0.25">
      <c r="A767" s="94" t="s">
        <v>930</v>
      </c>
      <c r="B767" s="95" t="s">
        <v>271</v>
      </c>
      <c r="C767" s="94" t="s">
        <v>930</v>
      </c>
      <c r="D767" s="94" t="s">
        <v>256</v>
      </c>
      <c r="E767" s="96">
        <v>39327</v>
      </c>
      <c r="F767" s="97">
        <f t="shared" ca="1" si="23"/>
        <v>9</v>
      </c>
      <c r="G767" s="98" t="s">
        <v>257</v>
      </c>
      <c r="H767" s="99">
        <v>86640</v>
      </c>
      <c r="I767" s="100">
        <v>3</v>
      </c>
    </row>
    <row r="768" spans="1:9" ht="13.5" x14ac:dyDescent="0.25">
      <c r="A768" s="94" t="s">
        <v>930</v>
      </c>
      <c r="B768" s="95" t="s">
        <v>251</v>
      </c>
      <c r="C768" s="94" t="s">
        <v>930</v>
      </c>
      <c r="D768" s="94" t="s">
        <v>247</v>
      </c>
      <c r="E768" s="102">
        <v>39328</v>
      </c>
      <c r="F768" s="97">
        <f t="shared" ca="1" si="23"/>
        <v>9</v>
      </c>
      <c r="G768" s="98"/>
      <c r="H768" s="99">
        <v>42990</v>
      </c>
      <c r="I768" s="100">
        <v>4</v>
      </c>
    </row>
    <row r="769" spans="1:9" ht="13.5" x14ac:dyDescent="0.25">
      <c r="A769" s="94" t="s">
        <v>930</v>
      </c>
      <c r="B769" s="95" t="s">
        <v>251</v>
      </c>
      <c r="C769" s="94" t="s">
        <v>930</v>
      </c>
      <c r="D769" s="94" t="s">
        <v>247</v>
      </c>
      <c r="E769" s="102">
        <v>39328</v>
      </c>
      <c r="F769" s="97">
        <f t="shared" ca="1" si="23"/>
        <v>9</v>
      </c>
      <c r="G769" s="98"/>
      <c r="H769" s="99">
        <v>42990</v>
      </c>
      <c r="I769" s="100">
        <v>4</v>
      </c>
    </row>
    <row r="770" spans="1:9" ht="13.5" x14ac:dyDescent="0.25">
      <c r="A770" s="94" t="s">
        <v>930</v>
      </c>
      <c r="B770" s="95" t="s">
        <v>271</v>
      </c>
      <c r="C770" s="94" t="s">
        <v>930</v>
      </c>
      <c r="D770" s="94" t="s">
        <v>256</v>
      </c>
      <c r="E770" s="102">
        <v>39370</v>
      </c>
      <c r="F770" s="97">
        <f t="shared" ca="1" si="23"/>
        <v>9</v>
      </c>
      <c r="G770" s="98" t="s">
        <v>257</v>
      </c>
      <c r="H770" s="99">
        <v>23030</v>
      </c>
      <c r="I770" s="100">
        <v>4</v>
      </c>
    </row>
    <row r="771" spans="1:9" ht="13.5" x14ac:dyDescent="0.25">
      <c r="A771" s="94" t="s">
        <v>930</v>
      </c>
      <c r="B771" s="95" t="s">
        <v>271</v>
      </c>
      <c r="C771" s="94" t="s">
        <v>930</v>
      </c>
      <c r="D771" s="94" t="s">
        <v>256</v>
      </c>
      <c r="E771" s="102">
        <v>39370</v>
      </c>
      <c r="F771" s="97">
        <f t="shared" ca="1" si="23"/>
        <v>9</v>
      </c>
      <c r="G771" s="98" t="s">
        <v>276</v>
      </c>
      <c r="H771" s="99">
        <v>40260</v>
      </c>
      <c r="I771" s="100">
        <v>5</v>
      </c>
    </row>
    <row r="772" spans="1:9" ht="13.5" x14ac:dyDescent="0.25">
      <c r="A772" s="101" t="s">
        <v>1056</v>
      </c>
      <c r="B772" s="95"/>
      <c r="C772" s="101"/>
      <c r="D772" s="94"/>
      <c r="E772" s="102"/>
      <c r="F772" s="97"/>
      <c r="G772" s="98"/>
      <c r="H772" s="99"/>
      <c r="I772" s="100"/>
    </row>
    <row r="773" spans="1:9" ht="13.5" x14ac:dyDescent="0.25">
      <c r="A773" s="94" t="s">
        <v>1025</v>
      </c>
      <c r="B773" s="95" t="s">
        <v>245</v>
      </c>
      <c r="C773" s="94" t="s">
        <v>1025</v>
      </c>
      <c r="D773" s="94" t="s">
        <v>247</v>
      </c>
      <c r="E773" s="96">
        <v>32077</v>
      </c>
      <c r="F773" s="97">
        <f ca="1">DATEDIF(E773,TODAY(),"Y")</f>
        <v>29</v>
      </c>
      <c r="G773" s="98"/>
      <c r="H773" s="99">
        <v>85510</v>
      </c>
      <c r="I773" s="100">
        <v>4</v>
      </c>
    </row>
    <row r="774" spans="1:9" ht="13.5" x14ac:dyDescent="0.25">
      <c r="A774" s="94" t="s">
        <v>1025</v>
      </c>
      <c r="B774" s="95" t="s">
        <v>271</v>
      </c>
      <c r="C774" s="94" t="s">
        <v>1025</v>
      </c>
      <c r="D774" s="94" t="s">
        <v>256</v>
      </c>
      <c r="E774" s="96">
        <v>35681</v>
      </c>
      <c r="F774" s="97">
        <f ca="1">DATEDIF(E774,TODAY(),"Y")</f>
        <v>19</v>
      </c>
      <c r="G774" s="98" t="s">
        <v>257</v>
      </c>
      <c r="H774" s="99">
        <v>63670</v>
      </c>
      <c r="I774" s="100">
        <v>5</v>
      </c>
    </row>
    <row r="775" spans="1:9" ht="13.5" x14ac:dyDescent="0.25">
      <c r="A775" s="94" t="s">
        <v>1025</v>
      </c>
      <c r="B775" s="95" t="s">
        <v>245</v>
      </c>
      <c r="C775" s="94" t="s">
        <v>1025</v>
      </c>
      <c r="D775" s="94" t="s">
        <v>256</v>
      </c>
      <c r="E775" s="96">
        <v>35763</v>
      </c>
      <c r="F775" s="97">
        <f ca="1">DATEDIF(E775,TODAY(),"Y")</f>
        <v>18</v>
      </c>
      <c r="G775" s="98" t="s">
        <v>276</v>
      </c>
      <c r="H775" s="99">
        <v>40680</v>
      </c>
      <c r="I775" s="100">
        <v>5</v>
      </c>
    </row>
    <row r="776" spans="1:9" ht="13.5" x14ac:dyDescent="0.25">
      <c r="A776" s="94" t="s">
        <v>1025</v>
      </c>
      <c r="B776" s="95" t="s">
        <v>266</v>
      </c>
      <c r="C776" s="94" t="s">
        <v>1025</v>
      </c>
      <c r="D776" s="94" t="s">
        <v>256</v>
      </c>
      <c r="E776" s="96">
        <v>36374</v>
      </c>
      <c r="F776" s="97">
        <f ca="1">DATEDIF(E776,TODAY(),"Y")</f>
        <v>17</v>
      </c>
      <c r="G776" s="98" t="s">
        <v>283</v>
      </c>
      <c r="H776" s="99">
        <v>42800</v>
      </c>
      <c r="I776" s="100">
        <v>5</v>
      </c>
    </row>
    <row r="777" spans="1:9" ht="13.5" x14ac:dyDescent="0.25">
      <c r="A777" s="94" t="s">
        <v>1025</v>
      </c>
      <c r="B777" s="95" t="s">
        <v>271</v>
      </c>
      <c r="C777" s="94" t="s">
        <v>1025</v>
      </c>
      <c r="D777" s="94" t="s">
        <v>247</v>
      </c>
      <c r="E777" s="96">
        <v>39409</v>
      </c>
      <c r="F777" s="97">
        <f ca="1">DATEDIF(E777,TODAY(),"Y")</f>
        <v>8</v>
      </c>
      <c r="G777" s="98"/>
      <c r="H777" s="99">
        <v>66132</v>
      </c>
      <c r="I777" s="100">
        <v>4</v>
      </c>
    </row>
    <row r="778" spans="1:9" ht="13.5" x14ac:dyDescent="0.25">
      <c r="A778" s="101" t="s">
        <v>1057</v>
      </c>
      <c r="B778" s="95"/>
      <c r="C778" s="101"/>
      <c r="D778" s="94"/>
      <c r="E778" s="96"/>
      <c r="F778" s="97"/>
      <c r="G778" s="98"/>
      <c r="H778" s="99"/>
      <c r="I778" s="100"/>
    </row>
    <row r="779" spans="1:9" ht="13.5" x14ac:dyDescent="0.25">
      <c r="A779" s="94" t="s">
        <v>1031</v>
      </c>
      <c r="B779" s="95" t="s">
        <v>285</v>
      </c>
      <c r="C779" s="94" t="s">
        <v>1031</v>
      </c>
      <c r="D779" s="94" t="s">
        <v>247</v>
      </c>
      <c r="E779" s="96">
        <v>32693</v>
      </c>
      <c r="F779" s="97">
        <f t="shared" ref="F779:F784" ca="1" si="24">DATEDIF(E779,TODAY(),"Y")</f>
        <v>27</v>
      </c>
      <c r="G779" s="98"/>
      <c r="H779" s="99">
        <v>60760</v>
      </c>
      <c r="I779" s="100">
        <v>2</v>
      </c>
    </row>
    <row r="780" spans="1:9" ht="13.5" x14ac:dyDescent="0.25">
      <c r="A780" s="94" t="s">
        <v>1031</v>
      </c>
      <c r="B780" s="95" t="s">
        <v>285</v>
      </c>
      <c r="C780" s="94" t="s">
        <v>1031</v>
      </c>
      <c r="D780" s="94" t="s">
        <v>247</v>
      </c>
      <c r="E780" s="96">
        <v>33215</v>
      </c>
      <c r="F780" s="97">
        <f t="shared" ca="1" si="24"/>
        <v>25</v>
      </c>
      <c r="G780" s="98"/>
      <c r="H780" s="99">
        <v>64720</v>
      </c>
      <c r="I780" s="100">
        <v>5</v>
      </c>
    </row>
    <row r="781" spans="1:9" ht="13.5" x14ac:dyDescent="0.25">
      <c r="A781" s="94" t="s">
        <v>1031</v>
      </c>
      <c r="B781" s="95" t="s">
        <v>285</v>
      </c>
      <c r="C781" s="94" t="s">
        <v>1031</v>
      </c>
      <c r="D781" s="94" t="s">
        <v>247</v>
      </c>
      <c r="E781" s="96">
        <v>33215</v>
      </c>
      <c r="F781" s="97">
        <f t="shared" ca="1" si="24"/>
        <v>25</v>
      </c>
      <c r="G781" s="98"/>
      <c r="H781" s="99">
        <v>64720</v>
      </c>
      <c r="I781" s="100">
        <v>5</v>
      </c>
    </row>
    <row r="782" spans="1:9" ht="13.5" x14ac:dyDescent="0.25">
      <c r="A782" s="94" t="s">
        <v>1031</v>
      </c>
      <c r="B782" s="95" t="s">
        <v>266</v>
      </c>
      <c r="C782" s="94" t="s">
        <v>1031</v>
      </c>
      <c r="D782" s="94" t="s">
        <v>261</v>
      </c>
      <c r="E782" s="96">
        <v>35247</v>
      </c>
      <c r="F782" s="97">
        <f t="shared" ca="1" si="24"/>
        <v>20</v>
      </c>
      <c r="G782" s="98" t="s">
        <v>257</v>
      </c>
      <c r="H782" s="99">
        <v>31250</v>
      </c>
      <c r="I782" s="100">
        <v>2</v>
      </c>
    </row>
    <row r="783" spans="1:9" ht="13.5" x14ac:dyDescent="0.25">
      <c r="A783" s="94" t="s">
        <v>1031</v>
      </c>
      <c r="B783" s="95" t="s">
        <v>251</v>
      </c>
      <c r="C783" s="94" t="s">
        <v>1031</v>
      </c>
      <c r="D783" s="94" t="s">
        <v>256</v>
      </c>
      <c r="E783" s="96">
        <v>39074</v>
      </c>
      <c r="F783" s="97">
        <f t="shared" ca="1" si="24"/>
        <v>9</v>
      </c>
      <c r="G783" s="98" t="s">
        <v>257</v>
      </c>
      <c r="H783" s="99">
        <v>46680</v>
      </c>
      <c r="I783" s="100">
        <v>1</v>
      </c>
    </row>
    <row r="784" spans="1:9" ht="13.5" x14ac:dyDescent="0.25">
      <c r="A784" s="94" t="s">
        <v>1031</v>
      </c>
      <c r="B784" s="95" t="s">
        <v>266</v>
      </c>
      <c r="C784" s="94" t="s">
        <v>1031</v>
      </c>
      <c r="D784" s="94" t="s">
        <v>252</v>
      </c>
      <c r="E784" s="96">
        <v>39233</v>
      </c>
      <c r="F784" s="97">
        <f t="shared" ca="1" si="24"/>
        <v>9</v>
      </c>
      <c r="G784" s="98"/>
      <c r="H784" s="99">
        <v>19044</v>
      </c>
      <c r="I784" s="100">
        <v>1</v>
      </c>
    </row>
    <row r="785" spans="1:9" ht="13.5" x14ac:dyDescent="0.25">
      <c r="A785" s="101" t="s">
        <v>1058</v>
      </c>
      <c r="B785" s="95"/>
      <c r="C785" s="101"/>
      <c r="D785" s="94"/>
      <c r="E785" s="96"/>
      <c r="F785" s="97"/>
      <c r="G785" s="98"/>
      <c r="H785" s="99"/>
      <c r="I785" s="10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autoPageBreaks="0"/>
  </sheetPr>
  <dimension ref="A1:AH743"/>
  <sheetViews>
    <sheetView zoomScale="115" zoomScaleNormal="115" zoomScaleSheetLayoutView="100" workbookViewId="0">
      <selection activeCell="B35" sqref="B35"/>
    </sheetView>
  </sheetViews>
  <sheetFormatPr defaultColWidth="19.85546875" defaultRowHeight="15" x14ac:dyDescent="0.25"/>
  <cols>
    <col min="1" max="1" width="19.5703125" style="42" bestFit="1" customWidth="1"/>
    <col min="2" max="2" width="8.28515625" style="57" bestFit="1" customWidth="1"/>
    <col min="3" max="3" width="26.85546875" style="42" bestFit="1" customWidth="1"/>
    <col min="4" max="4" width="11.140625" style="78" bestFit="1" customWidth="1"/>
    <col min="5" max="5" width="12.28515625" style="78" bestFit="1" customWidth="1"/>
    <col min="6" max="6" width="12.28515625" style="42" bestFit="1" customWidth="1"/>
    <col min="7" max="7" width="10.7109375" style="84" bestFit="1" customWidth="1"/>
    <col min="8" max="8" width="10.7109375" style="85" customWidth="1"/>
    <col min="9" max="9" width="9" style="86" customWidth="1"/>
    <col min="10" max="10" width="8.42578125" style="42" bestFit="1" customWidth="1"/>
    <col min="11" max="11" width="9.42578125" style="73" customWidth="1"/>
    <col min="12" max="12" width="10" style="57" bestFit="1" customWidth="1"/>
    <col min="13" max="13" width="12.28515625" style="87" bestFit="1" customWidth="1"/>
    <col min="14" max="14" width="8.42578125" style="103" bestFit="1" customWidth="1"/>
    <col min="15" max="15" width="7.5703125" style="48" customWidth="1"/>
    <col min="16" max="16" width="7.28515625" style="42" customWidth="1"/>
    <col min="17" max="17" width="9.85546875" style="42" customWidth="1"/>
    <col min="18" max="18" width="8.85546875" style="42" bestFit="1" customWidth="1"/>
    <col min="19" max="19" width="4.5703125" style="42" bestFit="1" customWidth="1"/>
    <col min="20" max="20" width="9.28515625" style="42" customWidth="1"/>
    <col min="21" max="21" width="5.5703125" style="42" bestFit="1" customWidth="1"/>
    <col min="22" max="26" width="4.42578125" style="42" bestFit="1" customWidth="1"/>
    <col min="27" max="27" width="5.42578125" style="42" customWidth="1"/>
    <col min="28" max="28" width="6" style="42" bestFit="1" customWidth="1"/>
    <col min="29" max="33" width="4.42578125" style="42" bestFit="1" customWidth="1"/>
    <col min="34" max="34" width="4.140625" style="42" bestFit="1" customWidth="1"/>
    <col min="35" max="16384" width="19.85546875" style="42"/>
  </cols>
  <sheetData>
    <row r="1" spans="1:33" s="114" customFormat="1" x14ac:dyDescent="0.25">
      <c r="A1" s="121" t="s">
        <v>1076</v>
      </c>
      <c r="B1" s="121"/>
      <c r="C1" s="121"/>
      <c r="D1" s="120" t="s">
        <v>1075</v>
      </c>
      <c r="E1" s="120" t="s">
        <v>233</v>
      </c>
      <c r="F1" s="121" t="s">
        <v>1074</v>
      </c>
      <c r="G1" s="119" t="s">
        <v>1073</v>
      </c>
      <c r="H1" s="120" t="s">
        <v>1072</v>
      </c>
      <c r="I1" s="119" t="s">
        <v>1071</v>
      </c>
      <c r="J1" s="121"/>
      <c r="K1" s="119" t="s">
        <v>1070</v>
      </c>
      <c r="L1" s="120" t="s">
        <v>1069</v>
      </c>
      <c r="M1" s="119" t="s">
        <v>1068</v>
      </c>
      <c r="N1" s="119" t="s">
        <v>1067</v>
      </c>
      <c r="O1" s="124"/>
      <c r="P1" s="123">
        <v>2.9100000000000001E-2</v>
      </c>
    </row>
    <row r="2" spans="1:33" s="114" customFormat="1" ht="30" x14ac:dyDescent="0.25">
      <c r="A2" s="122" t="s">
        <v>1066</v>
      </c>
      <c r="B2" s="121" t="s">
        <v>230</v>
      </c>
      <c r="C2" s="121" t="s">
        <v>231</v>
      </c>
      <c r="D2" s="120" t="s">
        <v>1065</v>
      </c>
      <c r="E2" s="120" t="s">
        <v>1065</v>
      </c>
      <c r="F2" s="121" t="s">
        <v>234</v>
      </c>
      <c r="G2" s="119" t="s">
        <v>1064</v>
      </c>
      <c r="H2" s="120" t="s">
        <v>236</v>
      </c>
      <c r="I2" s="119" t="s">
        <v>1063</v>
      </c>
      <c r="J2" s="121" t="s">
        <v>238</v>
      </c>
      <c r="K2" s="119" t="s">
        <v>239</v>
      </c>
      <c r="L2" s="120" t="s">
        <v>1062</v>
      </c>
      <c r="M2" s="119" t="s">
        <v>239</v>
      </c>
      <c r="N2" s="119" t="s">
        <v>1061</v>
      </c>
      <c r="O2" s="118"/>
      <c r="P2" s="40"/>
      <c r="Q2" s="40"/>
      <c r="R2" s="41" t="s">
        <v>243</v>
      </c>
      <c r="S2" s="41"/>
      <c r="U2" s="43"/>
      <c r="V2" s="44" t="s">
        <v>73</v>
      </c>
      <c r="W2" s="44" t="s">
        <v>107</v>
      </c>
      <c r="X2" s="44" t="s">
        <v>100</v>
      </c>
      <c r="Y2" s="44" t="s">
        <v>65</v>
      </c>
      <c r="Z2" s="44" t="s">
        <v>83</v>
      </c>
      <c r="AA2" s="117"/>
      <c r="AB2" s="116"/>
      <c r="AC2" s="115" t="s">
        <v>73</v>
      </c>
      <c r="AD2" s="115" t="s">
        <v>107</v>
      </c>
      <c r="AE2" s="115" t="s">
        <v>100</v>
      </c>
      <c r="AF2" s="115" t="s">
        <v>65</v>
      </c>
      <c r="AG2" s="115" t="s">
        <v>83</v>
      </c>
    </row>
    <row r="3" spans="1:33" x14ac:dyDescent="0.25">
      <c r="A3" s="42" t="s">
        <v>392</v>
      </c>
      <c r="B3" s="49" t="s">
        <v>251</v>
      </c>
      <c r="C3" s="42" t="s">
        <v>391</v>
      </c>
      <c r="D3" s="105">
        <v>938508346</v>
      </c>
      <c r="E3" s="113">
        <v>2526738901</v>
      </c>
      <c r="F3" s="42" t="s">
        <v>247</v>
      </c>
      <c r="G3" s="84">
        <f>32699+(364+182)</f>
        <v>33245</v>
      </c>
      <c r="H3" s="53" t="str">
        <f>CHOOSE(MONTH(G3),"Jan","Feb","Mar","Apr","May","Jun","Jul","Aug","Sep","Oct","Nov","Dec")</f>
        <v>Jan</v>
      </c>
      <c r="I3" s="54">
        <f ca="1">DATEDIF(G3,TODAY(),"Y")</f>
        <v>25</v>
      </c>
      <c r="J3" s="55"/>
      <c r="K3" s="56">
        <v>80050</v>
      </c>
      <c r="L3" s="57">
        <v>2</v>
      </c>
      <c r="M3" s="62">
        <f>ROUND(K3*P1+K3,0)</f>
        <v>82379</v>
      </c>
      <c r="R3" s="60">
        <v>0</v>
      </c>
      <c r="S3" s="61">
        <v>0</v>
      </c>
      <c r="U3" s="43" t="s">
        <v>248</v>
      </c>
      <c r="V3" s="62">
        <v>33</v>
      </c>
      <c r="W3" s="62">
        <v>40</v>
      </c>
      <c r="X3" s="62">
        <v>37</v>
      </c>
      <c r="Y3" s="62">
        <v>48</v>
      </c>
      <c r="Z3" s="62">
        <v>48</v>
      </c>
      <c r="AA3" s="62"/>
      <c r="AB3" s="63" t="s">
        <v>249</v>
      </c>
      <c r="AC3" s="62">
        <v>45</v>
      </c>
      <c r="AD3" s="62">
        <v>47</v>
      </c>
      <c r="AE3" s="62">
        <v>35</v>
      </c>
      <c r="AF3" s="62">
        <v>49</v>
      </c>
      <c r="AG3" s="62">
        <v>37</v>
      </c>
    </row>
    <row r="4" spans="1:33" x14ac:dyDescent="0.25">
      <c r="A4" s="42" t="s">
        <v>751</v>
      </c>
      <c r="B4" s="49" t="s">
        <v>285</v>
      </c>
      <c r="C4" s="42" t="s">
        <v>750</v>
      </c>
      <c r="D4" s="105">
        <v>198564686</v>
      </c>
      <c r="E4" s="113">
        <v>2523355100</v>
      </c>
      <c r="F4" s="42" t="s">
        <v>256</v>
      </c>
      <c r="G4" s="84">
        <f>32700+(364+182)</f>
        <v>33246</v>
      </c>
      <c r="H4" s="53" t="str">
        <f>CHOOSE(MONTH(G4),"Jan","Feb","Mar","Apr","May","Jun","Jul","Aug","Sep","Oct","Nov","Dec")</f>
        <v>Jan</v>
      </c>
      <c r="I4" s="54">
        <f ca="1">DATEDIF(G4,TODAY(),"Y")</f>
        <v>25</v>
      </c>
      <c r="J4" s="55" t="s">
        <v>257</v>
      </c>
      <c r="K4" s="56">
        <v>71730</v>
      </c>
      <c r="L4" s="57">
        <v>1</v>
      </c>
      <c r="M4" s="62">
        <f>ROUND(K4*P2+K4,0)</f>
        <v>71730</v>
      </c>
      <c r="R4" s="64">
        <v>5000</v>
      </c>
      <c r="S4" s="65">
        <v>0.01</v>
      </c>
      <c r="U4" s="43" t="s">
        <v>253</v>
      </c>
      <c r="V4" s="62">
        <v>35</v>
      </c>
      <c r="W4" s="62">
        <v>38</v>
      </c>
      <c r="X4" s="62">
        <v>36</v>
      </c>
      <c r="Y4" s="62">
        <v>48</v>
      </c>
      <c r="Z4" s="62">
        <v>41</v>
      </c>
      <c r="AA4" s="62"/>
      <c r="AB4" s="63" t="s">
        <v>254</v>
      </c>
      <c r="AC4" s="62">
        <v>39</v>
      </c>
      <c r="AD4" s="62">
        <v>35</v>
      </c>
      <c r="AE4" s="62">
        <v>45</v>
      </c>
      <c r="AF4" s="62">
        <v>34</v>
      </c>
      <c r="AG4" s="62">
        <v>37</v>
      </c>
    </row>
    <row r="5" spans="1:33" x14ac:dyDescent="0.25">
      <c r="A5" s="42" t="s">
        <v>672</v>
      </c>
      <c r="B5" s="49" t="s">
        <v>280</v>
      </c>
      <c r="C5" s="42" t="s">
        <v>626</v>
      </c>
      <c r="D5" s="105">
        <v>279097202</v>
      </c>
      <c r="E5" s="113">
        <v>9196844371</v>
      </c>
      <c r="F5" s="42" t="s">
        <v>256</v>
      </c>
      <c r="G5" s="84">
        <f>32701+(364+182)</f>
        <v>33247</v>
      </c>
      <c r="H5" s="53" t="str">
        <f>CHOOSE(MONTH(G5),"Jan","Feb","Mar","Apr","May","Jun","Jul","Aug","Sep","Oct","Nov","Dec")</f>
        <v>Jan</v>
      </c>
      <c r="I5" s="54">
        <f ca="1">DATEDIF(G5,TODAY(),"Y")</f>
        <v>25</v>
      </c>
      <c r="J5" s="55" t="s">
        <v>257</v>
      </c>
      <c r="K5" s="56">
        <v>62740</v>
      </c>
      <c r="L5" s="57">
        <v>4</v>
      </c>
      <c r="M5" s="62">
        <f>ROUND(K5*P3+K5,0)</f>
        <v>62740</v>
      </c>
      <c r="R5" s="64">
        <v>25000</v>
      </c>
      <c r="S5" s="65">
        <v>0.05</v>
      </c>
      <c r="U5" s="43" t="s">
        <v>258</v>
      </c>
      <c r="V5" s="62">
        <v>49</v>
      </c>
      <c r="W5" s="62">
        <v>36</v>
      </c>
      <c r="X5" s="62">
        <v>40</v>
      </c>
      <c r="Y5" s="62">
        <v>35</v>
      </c>
      <c r="Z5" s="62">
        <v>44</v>
      </c>
      <c r="AA5" s="62"/>
      <c r="AB5" s="63" t="s">
        <v>259</v>
      </c>
      <c r="AC5" s="62">
        <v>30</v>
      </c>
      <c r="AD5" s="62">
        <v>45</v>
      </c>
      <c r="AE5" s="62">
        <v>43</v>
      </c>
      <c r="AF5" s="62">
        <v>46</v>
      </c>
      <c r="AG5" s="62">
        <v>30</v>
      </c>
    </row>
    <row r="6" spans="1:33" x14ac:dyDescent="0.25">
      <c r="A6" s="42" t="s">
        <v>894</v>
      </c>
      <c r="B6" s="49" t="s">
        <v>245</v>
      </c>
      <c r="C6" s="42" t="s">
        <v>856</v>
      </c>
      <c r="D6" s="105">
        <v>352371400</v>
      </c>
      <c r="E6" s="113">
        <v>2525441252</v>
      </c>
      <c r="F6" s="42" t="s">
        <v>252</v>
      </c>
      <c r="G6" s="84">
        <f>32710+(364+182)</f>
        <v>33256</v>
      </c>
      <c r="H6" s="53" t="str">
        <f>CHOOSE(MONTH(G6),"Jan","Feb","Mar","Apr","May","Jun","Jul","Aug","Sep","Oct","Nov","Dec")</f>
        <v>Jan</v>
      </c>
      <c r="I6" s="54">
        <f ca="1">DATEDIF(G6,TODAY(),"Y")</f>
        <v>25</v>
      </c>
      <c r="J6" s="55"/>
      <c r="K6" s="56">
        <v>30468</v>
      </c>
      <c r="L6" s="57">
        <v>2</v>
      </c>
      <c r="M6" s="62">
        <f>ROUND(K6*P4+K6,0)</f>
        <v>30468</v>
      </c>
      <c r="R6" s="64">
        <v>35000</v>
      </c>
      <c r="S6" s="65">
        <v>0.06</v>
      </c>
      <c r="U6" s="43" t="s">
        <v>263</v>
      </c>
      <c r="V6" s="62">
        <v>35</v>
      </c>
      <c r="W6" s="62">
        <v>46</v>
      </c>
      <c r="X6" s="62">
        <v>44</v>
      </c>
      <c r="Y6" s="62">
        <v>48</v>
      </c>
      <c r="Z6" s="62">
        <v>47</v>
      </c>
      <c r="AA6" s="62"/>
      <c r="AB6" s="63" t="s">
        <v>264</v>
      </c>
      <c r="AC6" s="62">
        <v>46</v>
      </c>
      <c r="AD6" s="62">
        <v>40</v>
      </c>
      <c r="AE6" s="62">
        <v>45</v>
      </c>
      <c r="AF6" s="62">
        <v>45</v>
      </c>
      <c r="AG6" s="62">
        <v>37</v>
      </c>
    </row>
    <row r="7" spans="1:33" x14ac:dyDescent="0.25">
      <c r="A7" s="42" t="s">
        <v>858</v>
      </c>
      <c r="B7" s="49" t="s">
        <v>285</v>
      </c>
      <c r="C7" s="42" t="s">
        <v>856</v>
      </c>
      <c r="D7" s="105">
        <v>420739404</v>
      </c>
      <c r="E7" s="105">
        <v>9197785583</v>
      </c>
      <c r="F7" s="42" t="s">
        <v>256</v>
      </c>
      <c r="G7" s="84">
        <f>32723+(364+182)</f>
        <v>33269</v>
      </c>
      <c r="H7" s="53" t="str">
        <f>CHOOSE(MONTH(G7),"Jan","Feb","Mar","Apr","May","Jun","Jul","Aug","Sep","Oct","Nov","Dec")</f>
        <v>Jan</v>
      </c>
      <c r="I7" s="54">
        <f ca="1">DATEDIF(G7,TODAY(),"Y")</f>
        <v>25</v>
      </c>
      <c r="J7" s="55" t="s">
        <v>283</v>
      </c>
      <c r="K7" s="56">
        <v>24840</v>
      </c>
      <c r="L7" s="57">
        <v>1</v>
      </c>
      <c r="M7" s="62">
        <f>ROUND(K7*P5+K7,0)</f>
        <v>24840</v>
      </c>
      <c r="R7" s="64">
        <v>45000</v>
      </c>
      <c r="S7" s="65">
        <v>7.0000000000000007E-2</v>
      </c>
      <c r="U7" s="43" t="s">
        <v>268</v>
      </c>
      <c r="V7" s="62">
        <v>31</v>
      </c>
      <c r="W7" s="62">
        <v>49</v>
      </c>
      <c r="X7" s="62">
        <v>43</v>
      </c>
      <c r="Y7" s="62">
        <v>42</v>
      </c>
      <c r="Z7" s="62">
        <v>34</v>
      </c>
      <c r="AA7" s="62"/>
      <c r="AB7" s="63" t="s">
        <v>269</v>
      </c>
      <c r="AC7" s="62">
        <v>38</v>
      </c>
      <c r="AD7" s="62">
        <v>39</v>
      </c>
      <c r="AE7" s="62">
        <v>42</v>
      </c>
      <c r="AF7" s="62">
        <v>40</v>
      </c>
      <c r="AG7" s="62">
        <v>43</v>
      </c>
    </row>
    <row r="8" spans="1:33" x14ac:dyDescent="0.25">
      <c r="A8" s="42" t="s">
        <v>878</v>
      </c>
      <c r="B8" s="49" t="s">
        <v>285</v>
      </c>
      <c r="C8" s="42" t="s">
        <v>856</v>
      </c>
      <c r="D8" s="105">
        <v>784064156</v>
      </c>
      <c r="E8" s="113">
        <v>9193355152</v>
      </c>
      <c r="F8" s="42" t="s">
        <v>256</v>
      </c>
      <c r="G8" s="84">
        <f>33058+(364+182)</f>
        <v>33604</v>
      </c>
      <c r="H8" s="53" t="str">
        <f>CHOOSE(MONTH(G8),"Jan","Feb","Mar","Apr","May","Jun","Jul","Aug","Sep","Oct","Nov","Dec")</f>
        <v>Jan</v>
      </c>
      <c r="I8" s="54">
        <f ca="1">DATEDIF(G8,TODAY(),"Y")</f>
        <v>24</v>
      </c>
      <c r="J8" s="55" t="s">
        <v>257</v>
      </c>
      <c r="K8" s="56">
        <v>54830</v>
      </c>
      <c r="L8" s="57">
        <v>1</v>
      </c>
      <c r="M8" s="62">
        <f>ROUND(K8*P6+K8,0)</f>
        <v>54830</v>
      </c>
      <c r="R8" s="64">
        <v>55000</v>
      </c>
      <c r="S8" s="65">
        <v>0.08</v>
      </c>
      <c r="U8" s="43" t="s">
        <v>273</v>
      </c>
      <c r="V8" s="62">
        <v>43</v>
      </c>
      <c r="W8" s="62">
        <v>38</v>
      </c>
      <c r="X8" s="62">
        <v>44</v>
      </c>
      <c r="Y8" s="62">
        <v>44</v>
      </c>
      <c r="Z8" s="62">
        <v>39</v>
      </c>
      <c r="AA8" s="62"/>
      <c r="AB8" s="63" t="s">
        <v>274</v>
      </c>
      <c r="AC8" s="62">
        <v>30</v>
      </c>
      <c r="AD8" s="62">
        <v>47</v>
      </c>
      <c r="AE8" s="62">
        <v>46</v>
      </c>
      <c r="AF8" s="62">
        <v>42</v>
      </c>
      <c r="AG8" s="62">
        <v>34</v>
      </c>
    </row>
    <row r="9" spans="1:33" x14ac:dyDescent="0.25">
      <c r="A9" s="42" t="s">
        <v>651</v>
      </c>
      <c r="B9" s="49" t="s">
        <v>285</v>
      </c>
      <c r="C9" s="42" t="s">
        <v>626</v>
      </c>
      <c r="D9" s="105">
        <v>751878224</v>
      </c>
      <c r="E9" s="105">
        <v>9194713628</v>
      </c>
      <c r="F9" s="42" t="s">
        <v>256</v>
      </c>
      <c r="G9" s="84">
        <f>33060+(364+182)</f>
        <v>33606</v>
      </c>
      <c r="H9" s="53" t="str">
        <f>CHOOSE(MONTH(G9),"Jan","Feb","Mar","Apr","May","Jun","Jul","Aug","Sep","Oct","Nov","Dec")</f>
        <v>Jan</v>
      </c>
      <c r="I9" s="54">
        <f ca="1">DATEDIF(G9,TODAY(),"Y")</f>
        <v>24</v>
      </c>
      <c r="J9" s="55" t="s">
        <v>262</v>
      </c>
      <c r="K9" s="56">
        <v>87120</v>
      </c>
      <c r="L9" s="57">
        <v>3</v>
      </c>
      <c r="M9" s="62">
        <f>ROUND(K9*P7+K9,0)</f>
        <v>87120</v>
      </c>
      <c r="R9" s="64">
        <v>65000</v>
      </c>
      <c r="S9" s="65">
        <v>0.1</v>
      </c>
    </row>
    <row r="10" spans="1:33" x14ac:dyDescent="0.25">
      <c r="A10" s="42" t="s">
        <v>390</v>
      </c>
      <c r="B10" s="49" t="s">
        <v>271</v>
      </c>
      <c r="C10" s="42" t="s">
        <v>391</v>
      </c>
      <c r="D10" s="105">
        <v>690374765</v>
      </c>
      <c r="E10" s="105">
        <v>2525786813</v>
      </c>
      <c r="F10" s="42" t="s">
        <v>256</v>
      </c>
      <c r="G10" s="84">
        <f>33067+(364+182)</f>
        <v>33613</v>
      </c>
      <c r="H10" s="53" t="str">
        <f>CHOOSE(MONTH(G10),"Jan","Feb","Mar","Apr","May","Jun","Jul","Aug","Sep","Oct","Nov","Dec")</f>
        <v>Jan</v>
      </c>
      <c r="I10" s="54">
        <f ca="1">DATEDIF(G10,TODAY(),"Y")</f>
        <v>24</v>
      </c>
      <c r="J10" s="55" t="s">
        <v>267</v>
      </c>
      <c r="K10" s="56">
        <v>82500</v>
      </c>
      <c r="L10" s="57">
        <v>5</v>
      </c>
      <c r="M10" s="62">
        <f>ROUND(K10*P8+K10,0)</f>
        <v>82500</v>
      </c>
      <c r="R10" s="64">
        <v>75000</v>
      </c>
      <c r="S10" s="65">
        <v>0.11</v>
      </c>
      <c r="U10" s="67"/>
      <c r="V10" s="68"/>
      <c r="W10" s="68"/>
      <c r="X10" s="68"/>
      <c r="Y10" s="68"/>
      <c r="Z10" s="68"/>
      <c r="AB10" s="69"/>
      <c r="AC10" s="70"/>
      <c r="AD10" s="70"/>
      <c r="AE10" s="70"/>
      <c r="AF10" s="70"/>
    </row>
    <row r="11" spans="1:33" x14ac:dyDescent="0.25">
      <c r="A11" s="42" t="s">
        <v>585</v>
      </c>
      <c r="B11" s="49" t="s">
        <v>285</v>
      </c>
      <c r="C11" s="42" t="s">
        <v>465</v>
      </c>
      <c r="D11" s="105">
        <v>291715078</v>
      </c>
      <c r="E11" s="105">
        <v>9197662359</v>
      </c>
      <c r="F11" s="42" t="s">
        <v>256</v>
      </c>
      <c r="G11" s="84">
        <f>33067+(364+182)</f>
        <v>33613</v>
      </c>
      <c r="H11" s="53" t="str">
        <f>CHOOSE(MONTH(G11),"Jan","Feb","Mar","Apr","May","Jun","Jul","Aug","Sep","Oct","Nov","Dec")</f>
        <v>Jan</v>
      </c>
      <c r="I11" s="54">
        <f ca="1">DATEDIF(G11,TODAY(),"Y")</f>
        <v>24</v>
      </c>
      <c r="J11" s="55" t="s">
        <v>586</v>
      </c>
      <c r="K11" s="56">
        <v>56900</v>
      </c>
      <c r="L11" s="57">
        <v>5</v>
      </c>
      <c r="M11" s="62">
        <f>ROUND(K11*P9+K11,0)</f>
        <v>56900</v>
      </c>
      <c r="R11" s="64">
        <v>85000</v>
      </c>
      <c r="S11" s="65">
        <v>0.12</v>
      </c>
      <c r="U11" s="67"/>
      <c r="V11" s="71"/>
      <c r="W11" s="71"/>
      <c r="X11" s="71"/>
      <c r="Y11" s="71"/>
      <c r="Z11" s="71"/>
      <c r="AA11" s="72"/>
      <c r="AB11" s="73"/>
      <c r="AC11" s="55"/>
      <c r="AD11" s="55"/>
      <c r="AE11" s="55"/>
      <c r="AF11" s="55"/>
    </row>
    <row r="12" spans="1:33" x14ac:dyDescent="0.25">
      <c r="A12" s="42" t="s">
        <v>690</v>
      </c>
      <c r="B12" s="49" t="s">
        <v>280</v>
      </c>
      <c r="C12" s="42" t="s">
        <v>678</v>
      </c>
      <c r="D12" s="105">
        <v>247555666</v>
      </c>
      <c r="E12" s="105">
        <v>2528183445</v>
      </c>
      <c r="F12" s="42" t="s">
        <v>256</v>
      </c>
      <c r="G12" s="84">
        <f>33071+(364+182)</f>
        <v>33617</v>
      </c>
      <c r="H12" s="53" t="str">
        <f>CHOOSE(MONTH(G12),"Jan","Feb","Mar","Apr","May","Jun","Jul","Aug","Sep","Oct","Nov","Dec")</f>
        <v>Jan</v>
      </c>
      <c r="I12" s="54">
        <f ca="1">DATEDIF(G12,TODAY(),"Y")</f>
        <v>24</v>
      </c>
      <c r="J12" s="55" t="s">
        <v>257</v>
      </c>
      <c r="K12" s="56">
        <v>39110</v>
      </c>
      <c r="L12" s="57">
        <v>5</v>
      </c>
      <c r="M12" s="62">
        <f>ROUND(K12*P10+K12,0)</f>
        <v>39110</v>
      </c>
      <c r="R12" s="64">
        <v>95000</v>
      </c>
      <c r="S12" s="65">
        <v>0.13</v>
      </c>
      <c r="U12" s="67"/>
      <c r="V12" s="71"/>
      <c r="W12" s="71"/>
      <c r="X12" s="71"/>
      <c r="Y12" s="71"/>
      <c r="Z12" s="71"/>
      <c r="AA12" s="55"/>
      <c r="AB12" s="73"/>
      <c r="AC12" s="55"/>
      <c r="AD12" s="55"/>
      <c r="AE12" s="55"/>
      <c r="AF12" s="55"/>
    </row>
    <row r="13" spans="1:33" x14ac:dyDescent="0.25">
      <c r="A13" s="42" t="s">
        <v>315</v>
      </c>
      <c r="B13" s="49" t="s">
        <v>285</v>
      </c>
      <c r="C13" s="42" t="s">
        <v>312</v>
      </c>
      <c r="D13" s="105">
        <v>260815239</v>
      </c>
      <c r="E13" s="105">
        <v>2523040292</v>
      </c>
      <c r="F13" s="42" t="s">
        <v>252</v>
      </c>
      <c r="G13" s="84">
        <f>33074+(364+182)</f>
        <v>33620</v>
      </c>
      <c r="H13" s="53" t="str">
        <f>CHOOSE(MONTH(G13),"Jan","Feb","Mar","Apr","May","Jun","Jul","Aug","Sep","Oct","Nov","Dec")</f>
        <v>Jan</v>
      </c>
      <c r="I13" s="54">
        <f ca="1">DATEDIF(G13,TODAY(),"Y")</f>
        <v>24</v>
      </c>
      <c r="J13" s="55"/>
      <c r="K13" s="56">
        <v>14568</v>
      </c>
      <c r="L13" s="57">
        <v>3</v>
      </c>
      <c r="M13" s="62">
        <f>ROUND(K13*P11+K13,0)</f>
        <v>14568</v>
      </c>
      <c r="O13" s="104"/>
      <c r="R13" s="74"/>
      <c r="U13" s="67"/>
      <c r="V13" s="71"/>
      <c r="W13" s="71"/>
      <c r="X13" s="71"/>
      <c r="Y13" s="71"/>
      <c r="Z13" s="71"/>
      <c r="AA13" s="55"/>
      <c r="AB13" s="73"/>
      <c r="AC13" s="55"/>
      <c r="AD13" s="55"/>
      <c r="AE13" s="55"/>
      <c r="AF13" s="55"/>
    </row>
    <row r="14" spans="1:33" x14ac:dyDescent="0.25">
      <c r="A14" s="42" t="s">
        <v>715</v>
      </c>
      <c r="B14" s="49" t="s">
        <v>245</v>
      </c>
      <c r="C14" s="42" t="s">
        <v>705</v>
      </c>
      <c r="D14" s="105">
        <v>724193735</v>
      </c>
      <c r="E14" s="105">
        <v>2528627048</v>
      </c>
      <c r="F14" s="42" t="s">
        <v>256</v>
      </c>
      <c r="G14" s="84">
        <f>33074+(364+182)</f>
        <v>33620</v>
      </c>
      <c r="H14" s="53" t="str">
        <f>CHOOSE(MONTH(G14),"Jan","Feb","Mar","Apr","May","Jun","Jul","Aug","Sep","Oct","Nov","Dec")</f>
        <v>Jan</v>
      </c>
      <c r="I14" s="54">
        <f ca="1">DATEDIF(G14,TODAY(),"Y")</f>
        <v>24</v>
      </c>
      <c r="J14" s="55" t="s">
        <v>283</v>
      </c>
      <c r="K14" s="56">
        <v>43190</v>
      </c>
      <c r="L14" s="57">
        <v>2</v>
      </c>
      <c r="M14" s="62">
        <f>ROUND(K14*P12+K14,0)</f>
        <v>43190</v>
      </c>
      <c r="R14" s="74"/>
      <c r="U14" s="67"/>
      <c r="V14" s="71"/>
      <c r="W14" s="71"/>
      <c r="X14" s="71"/>
      <c r="Y14" s="71"/>
      <c r="Z14" s="71"/>
      <c r="AA14" s="55"/>
      <c r="AB14" s="73"/>
      <c r="AC14" s="55"/>
      <c r="AD14" s="55"/>
      <c r="AE14" s="55"/>
      <c r="AF14" s="55"/>
    </row>
    <row r="15" spans="1:33" x14ac:dyDescent="0.25">
      <c r="A15" s="42" t="s">
        <v>491</v>
      </c>
      <c r="B15" s="49" t="s">
        <v>271</v>
      </c>
      <c r="C15" s="42" t="s">
        <v>465</v>
      </c>
      <c r="D15" s="105">
        <v>806508287</v>
      </c>
      <c r="E15" s="105">
        <v>2528801464</v>
      </c>
      <c r="F15" s="42" t="s">
        <v>256</v>
      </c>
      <c r="G15" s="84">
        <f>33085+(364+182)</f>
        <v>33631</v>
      </c>
      <c r="H15" s="53" t="str">
        <f>CHOOSE(MONTH(G15),"Jan","Feb","Mar","Apr","May","Jun","Jul","Aug","Sep","Oct","Nov","Dec")</f>
        <v>Jan</v>
      </c>
      <c r="I15" s="54">
        <f ca="1">DATEDIF(G15,TODAY(),"Y")</f>
        <v>24</v>
      </c>
      <c r="J15" s="55" t="s">
        <v>257</v>
      </c>
      <c r="K15" s="56">
        <v>52940</v>
      </c>
      <c r="L15" s="57">
        <v>4</v>
      </c>
      <c r="M15" s="62">
        <f>ROUND(K15*P13+K15,0)</f>
        <v>52940</v>
      </c>
      <c r="U15" s="67"/>
      <c r="V15" s="71"/>
      <c r="W15" s="71"/>
      <c r="X15" s="71"/>
      <c r="Y15" s="71"/>
      <c r="Z15" s="71"/>
      <c r="AA15" s="55"/>
      <c r="AB15" s="73"/>
      <c r="AC15" s="55"/>
      <c r="AD15" s="55"/>
      <c r="AE15" s="55"/>
      <c r="AF15" s="55"/>
    </row>
    <row r="16" spans="1:33" x14ac:dyDescent="0.25">
      <c r="A16" s="42" t="s">
        <v>952</v>
      </c>
      <c r="B16" s="49" t="s">
        <v>285</v>
      </c>
      <c r="C16" s="42" t="s">
        <v>930</v>
      </c>
      <c r="D16" s="105">
        <v>656572514</v>
      </c>
      <c r="E16" s="105">
        <v>9193679666</v>
      </c>
      <c r="F16" s="42" t="s">
        <v>247</v>
      </c>
      <c r="G16" s="84">
        <f>33428+(364+182)</f>
        <v>33974</v>
      </c>
      <c r="H16" s="53" t="str">
        <f>CHOOSE(MONTH(G16),"Jan","Feb","Mar","Apr","May","Jun","Jul","Aug","Sep","Oct","Nov","Dec")</f>
        <v>Jan</v>
      </c>
      <c r="I16" s="54">
        <f ca="1">DATEDIF(G16,TODAY(),"Y")</f>
        <v>23</v>
      </c>
      <c r="J16" s="55"/>
      <c r="K16" s="56">
        <v>70150</v>
      </c>
      <c r="L16" s="57">
        <v>2</v>
      </c>
      <c r="M16" s="62">
        <f>ROUND(K16*P14+K16,0)</f>
        <v>70150</v>
      </c>
      <c r="U16" s="67"/>
      <c r="V16" s="71"/>
      <c r="W16" s="71"/>
      <c r="X16" s="71"/>
      <c r="Y16" s="71"/>
      <c r="Z16" s="71"/>
      <c r="AA16" s="55"/>
      <c r="AB16" s="73"/>
      <c r="AC16" s="55"/>
      <c r="AD16" s="55"/>
      <c r="AE16" s="55"/>
      <c r="AF16" s="55"/>
    </row>
    <row r="17" spans="1:32" x14ac:dyDescent="0.25">
      <c r="A17" s="42" t="s">
        <v>1002</v>
      </c>
      <c r="B17" s="49" t="s">
        <v>271</v>
      </c>
      <c r="C17" s="42" t="s">
        <v>930</v>
      </c>
      <c r="D17" s="105">
        <v>317749924</v>
      </c>
      <c r="E17" s="105">
        <v>9193441810</v>
      </c>
      <c r="F17" s="42" t="s">
        <v>247</v>
      </c>
      <c r="G17" s="84">
        <f>33431+(364+182)</f>
        <v>33977</v>
      </c>
      <c r="H17" s="53" t="str">
        <f>CHOOSE(MONTH(G17),"Jan","Feb","Mar","Apr","May","Jun","Jul","Aug","Sep","Oct","Nov","Dec")</f>
        <v>Jan</v>
      </c>
      <c r="I17" s="54">
        <f ca="1">DATEDIF(G17,TODAY(),"Y")</f>
        <v>23</v>
      </c>
      <c r="J17" s="55"/>
      <c r="K17" s="56">
        <v>63290</v>
      </c>
      <c r="L17" s="57">
        <v>5</v>
      </c>
      <c r="M17" s="62">
        <f>ROUND(K17*P15+K17,0)</f>
        <v>63290</v>
      </c>
      <c r="V17" s="77"/>
      <c r="W17" s="77"/>
      <c r="X17" s="77"/>
      <c r="Y17" s="77"/>
      <c r="Z17" s="55"/>
      <c r="AA17" s="55"/>
      <c r="AB17" s="55"/>
      <c r="AC17" s="55"/>
      <c r="AD17" s="55"/>
      <c r="AE17" s="55"/>
      <c r="AF17" s="55"/>
    </row>
    <row r="18" spans="1:32" x14ac:dyDescent="0.25">
      <c r="A18" s="42" t="s">
        <v>954</v>
      </c>
      <c r="B18" s="49" t="s">
        <v>280</v>
      </c>
      <c r="C18" s="42" t="s">
        <v>930</v>
      </c>
      <c r="D18" s="105">
        <v>364525917</v>
      </c>
      <c r="E18" s="105">
        <v>2522787318</v>
      </c>
      <c r="F18" s="42" t="s">
        <v>256</v>
      </c>
      <c r="G18" s="84">
        <f>33432+(364+182)</f>
        <v>33978</v>
      </c>
      <c r="H18" s="53" t="str">
        <f>CHOOSE(MONTH(G18),"Jan","Feb","Mar","Apr","May","Jun","Jul","Aug","Sep","Oct","Nov","Dec")</f>
        <v>Jan</v>
      </c>
      <c r="I18" s="54">
        <f ca="1">DATEDIF(G18,TODAY(),"Y")</f>
        <v>23</v>
      </c>
      <c r="J18" s="55" t="s">
        <v>283</v>
      </c>
      <c r="K18" s="56">
        <v>46410</v>
      </c>
      <c r="L18" s="57">
        <v>2</v>
      </c>
      <c r="M18" s="62">
        <f>ROUND(K18*P16+K18,0)</f>
        <v>46410</v>
      </c>
    </row>
    <row r="19" spans="1:32" x14ac:dyDescent="0.25">
      <c r="A19" s="42" t="s">
        <v>577</v>
      </c>
      <c r="B19" s="49" t="s">
        <v>271</v>
      </c>
      <c r="C19" s="42" t="s">
        <v>465</v>
      </c>
      <c r="D19" s="105">
        <v>820244290</v>
      </c>
      <c r="E19" s="105">
        <v>9194944596</v>
      </c>
      <c r="F19" s="42" t="s">
        <v>247</v>
      </c>
      <c r="G19" s="84">
        <f>33433+(364+182)</f>
        <v>33979</v>
      </c>
      <c r="H19" s="53" t="str">
        <f>CHOOSE(MONTH(G19),"Jan","Feb","Mar","Apr","May","Jun","Jul","Aug","Sep","Oct","Nov","Dec")</f>
        <v>Jan</v>
      </c>
      <c r="I19" s="54">
        <f ca="1">DATEDIF(G19,TODAY(),"Y")</f>
        <v>23</v>
      </c>
      <c r="J19" s="55"/>
      <c r="K19" s="56">
        <v>73990</v>
      </c>
      <c r="L19" s="57">
        <v>3</v>
      </c>
      <c r="M19" s="62">
        <f>ROUND(K19*P17+K19,0)</f>
        <v>73990</v>
      </c>
    </row>
    <row r="20" spans="1:32" x14ac:dyDescent="0.25">
      <c r="A20" s="42" t="s">
        <v>367</v>
      </c>
      <c r="B20" s="49" t="s">
        <v>245</v>
      </c>
      <c r="C20" s="42" t="s">
        <v>312</v>
      </c>
      <c r="D20" s="105">
        <v>648911225</v>
      </c>
      <c r="E20" s="105">
        <v>2525829090</v>
      </c>
      <c r="F20" s="42" t="s">
        <v>247</v>
      </c>
      <c r="G20" s="84">
        <f>33435+(364+182)</f>
        <v>33981</v>
      </c>
      <c r="H20" s="53" t="str">
        <f>CHOOSE(MONTH(G20),"Jan","Feb","Mar","Apr","May","Jun","Jul","Aug","Sep","Oct","Nov","Dec")</f>
        <v>Jan</v>
      </c>
      <c r="I20" s="54">
        <f ca="1">DATEDIF(G20,TODAY(),"Y")</f>
        <v>23</v>
      </c>
      <c r="J20" s="55"/>
      <c r="K20" s="56">
        <v>83020</v>
      </c>
      <c r="L20" s="57">
        <v>4</v>
      </c>
      <c r="M20" s="62">
        <f>ROUND(K20*P18+K20,0)</f>
        <v>83020</v>
      </c>
    </row>
    <row r="21" spans="1:32" x14ac:dyDescent="0.25">
      <c r="A21" s="42" t="s">
        <v>598</v>
      </c>
      <c r="B21" s="49" t="s">
        <v>271</v>
      </c>
      <c r="C21" s="42" t="s">
        <v>465</v>
      </c>
      <c r="D21" s="105">
        <v>505966230</v>
      </c>
      <c r="E21" s="105">
        <v>9198038161</v>
      </c>
      <c r="F21" s="42" t="s">
        <v>256</v>
      </c>
      <c r="G21" s="84">
        <f>33447+(364+182)</f>
        <v>33993</v>
      </c>
      <c r="H21" s="53" t="str">
        <f>CHOOSE(MONTH(G21),"Jan","Feb","Mar","Apr","May","Jun","Jul","Aug","Sep","Oct","Nov","Dec")</f>
        <v>Jan</v>
      </c>
      <c r="I21" s="54">
        <f ca="1">DATEDIF(G21,TODAY(),"Y")</f>
        <v>23</v>
      </c>
      <c r="J21" s="55" t="s">
        <v>283</v>
      </c>
      <c r="K21" s="56">
        <v>45500</v>
      </c>
      <c r="L21" s="57">
        <v>3</v>
      </c>
      <c r="M21" s="62">
        <f>ROUND(K21*P19+K21,0)</f>
        <v>45500</v>
      </c>
    </row>
    <row r="22" spans="1:32" x14ac:dyDescent="0.25">
      <c r="A22" s="42" t="s">
        <v>400</v>
      </c>
      <c r="B22" s="49" t="s">
        <v>285</v>
      </c>
      <c r="C22" s="42" t="s">
        <v>391</v>
      </c>
      <c r="D22" s="105">
        <v>585815837</v>
      </c>
      <c r="E22" s="105">
        <v>9194983657</v>
      </c>
      <c r="F22" s="42" t="s">
        <v>261</v>
      </c>
      <c r="G22" s="84">
        <f>33448+(364+182)</f>
        <v>33994</v>
      </c>
      <c r="H22" s="53" t="str">
        <f>CHOOSE(MONTH(G22),"Jan","Feb","Mar","Apr","May","Jun","Jul","Aug","Sep","Oct","Nov","Dec")</f>
        <v>Jan</v>
      </c>
      <c r="I22" s="54">
        <f ca="1">DATEDIF(G22,TODAY(),"Y")</f>
        <v>23</v>
      </c>
      <c r="J22" s="55" t="s">
        <v>276</v>
      </c>
      <c r="K22" s="56">
        <v>18655</v>
      </c>
      <c r="L22" s="57">
        <v>4</v>
      </c>
      <c r="M22" s="62">
        <f>ROUND(K22*P20+K22,0)</f>
        <v>18655</v>
      </c>
    </row>
    <row r="23" spans="1:32" x14ac:dyDescent="0.25">
      <c r="A23" s="42" t="s">
        <v>879</v>
      </c>
      <c r="B23" s="49" t="s">
        <v>271</v>
      </c>
      <c r="C23" s="42" t="s">
        <v>856</v>
      </c>
      <c r="D23" s="105">
        <v>102159909</v>
      </c>
      <c r="E23" s="105">
        <v>2521868104</v>
      </c>
      <c r="F23" s="42" t="s">
        <v>252</v>
      </c>
      <c r="G23" s="84">
        <f>33799+(364+182)</f>
        <v>34345</v>
      </c>
      <c r="H23" s="53" t="str">
        <f>CHOOSE(MONTH(G23),"Jan","Feb","Mar","Apr","May","Jun","Jul","Aug","Sep","Oct","Nov","Dec")</f>
        <v>Jan</v>
      </c>
      <c r="I23" s="54">
        <f ca="1">DATEDIF(G23,TODAY(),"Y")</f>
        <v>22</v>
      </c>
      <c r="J23" s="55"/>
      <c r="K23" s="56">
        <v>36788</v>
      </c>
      <c r="L23" s="57">
        <v>4</v>
      </c>
      <c r="M23" s="62">
        <f>ROUND(K23*P21+K23,0)</f>
        <v>36788</v>
      </c>
    </row>
    <row r="24" spans="1:32" x14ac:dyDescent="0.25">
      <c r="A24" s="42" t="s">
        <v>707</v>
      </c>
      <c r="B24" s="49" t="s">
        <v>280</v>
      </c>
      <c r="C24" s="42" t="s">
        <v>705</v>
      </c>
      <c r="D24" s="105">
        <v>542214575</v>
      </c>
      <c r="E24" s="105">
        <v>2522172913</v>
      </c>
      <c r="F24" s="42" t="s">
        <v>256</v>
      </c>
      <c r="G24" s="84">
        <f>34156+(364+182)</f>
        <v>34702</v>
      </c>
      <c r="H24" s="53" t="str">
        <f>CHOOSE(MONTH(G24),"Jan","Feb","Mar","Apr","May","Jun","Jul","Aug","Sep","Oct","Nov","Dec")</f>
        <v>Jan</v>
      </c>
      <c r="I24" s="54">
        <f ca="1">DATEDIF(G24,TODAY(),"Y")</f>
        <v>21</v>
      </c>
      <c r="J24" s="55" t="s">
        <v>257</v>
      </c>
      <c r="K24" s="56">
        <v>87030</v>
      </c>
      <c r="L24" s="57">
        <v>3</v>
      </c>
      <c r="M24" s="62">
        <f>ROUND(K24*P22+K24,0)</f>
        <v>87030</v>
      </c>
    </row>
    <row r="25" spans="1:32" x14ac:dyDescent="0.25">
      <c r="A25" s="42" t="s">
        <v>974</v>
      </c>
      <c r="B25" s="49" t="s">
        <v>271</v>
      </c>
      <c r="C25" s="42" t="s">
        <v>930</v>
      </c>
      <c r="D25" s="105">
        <v>375875723</v>
      </c>
      <c r="E25" s="105">
        <v>2526026842</v>
      </c>
      <c r="F25" s="42" t="s">
        <v>247</v>
      </c>
      <c r="G25" s="84">
        <f>34177+(364+182)</f>
        <v>34723</v>
      </c>
      <c r="H25" s="53" t="str">
        <f>CHOOSE(MONTH(G25),"Jan","Feb","Mar","Apr","May","Jun","Jul","Aug","Sep","Oct","Nov","Dec")</f>
        <v>Jan</v>
      </c>
      <c r="I25" s="54">
        <f ca="1">DATEDIF(G25,TODAY(),"Y")</f>
        <v>21</v>
      </c>
      <c r="J25" s="55"/>
      <c r="K25" s="56">
        <v>64263</v>
      </c>
      <c r="L25" s="57">
        <v>3</v>
      </c>
      <c r="M25" s="62">
        <f>ROUND(K25*P23+K25,0)</f>
        <v>64263</v>
      </c>
    </row>
    <row r="26" spans="1:32" x14ac:dyDescent="0.25">
      <c r="A26" s="42" t="s">
        <v>804</v>
      </c>
      <c r="B26" s="49" t="s">
        <v>271</v>
      </c>
      <c r="C26" s="42" t="s">
        <v>767</v>
      </c>
      <c r="D26" s="105">
        <v>494754997</v>
      </c>
      <c r="E26" s="105">
        <v>9195617115</v>
      </c>
      <c r="F26" s="42" t="s">
        <v>247</v>
      </c>
      <c r="G26" s="84">
        <f>34180+(364+182)</f>
        <v>34726</v>
      </c>
      <c r="H26" s="53" t="str">
        <f>CHOOSE(MONTH(G26),"Jan","Feb","Mar","Apr","May","Jun","Jul","Aug","Sep","Oct","Nov","Dec")</f>
        <v>Jan</v>
      </c>
      <c r="I26" s="54">
        <f ca="1">DATEDIF(G26,TODAY(),"Y")</f>
        <v>21</v>
      </c>
      <c r="J26" s="55"/>
      <c r="K26" s="56">
        <v>33120</v>
      </c>
      <c r="L26" s="57">
        <v>2</v>
      </c>
      <c r="M26" s="62">
        <f>ROUND(K26*P24+K26,0)</f>
        <v>33120</v>
      </c>
    </row>
    <row r="27" spans="1:32" x14ac:dyDescent="0.25">
      <c r="A27" s="42" t="s">
        <v>419</v>
      </c>
      <c r="B27" s="49" t="s">
        <v>285</v>
      </c>
      <c r="C27" s="42" t="s">
        <v>417</v>
      </c>
      <c r="D27" s="105">
        <v>425598783</v>
      </c>
      <c r="E27" s="105">
        <v>9191559081</v>
      </c>
      <c r="F27" s="42" t="s">
        <v>261</v>
      </c>
      <c r="G27" s="84">
        <f>34524+(364+182)</f>
        <v>35070</v>
      </c>
      <c r="H27" s="53" t="str">
        <f>CHOOSE(MONTH(G27),"Jan","Feb","Mar","Apr","May","Jun","Jul","Aug","Sep","Oct","Nov","Dec")</f>
        <v>Jan</v>
      </c>
      <c r="I27" s="54">
        <f ca="1">DATEDIF(G27,TODAY(),"Y")</f>
        <v>20</v>
      </c>
      <c r="J27" s="55" t="s">
        <v>276</v>
      </c>
      <c r="K27" s="56">
        <v>21220</v>
      </c>
      <c r="L27" s="57">
        <v>3</v>
      </c>
      <c r="M27" s="62">
        <f>ROUND(K27*P25+K27,0)</f>
        <v>21220</v>
      </c>
    </row>
    <row r="28" spans="1:32" x14ac:dyDescent="0.25">
      <c r="A28" s="42" t="s">
        <v>416</v>
      </c>
      <c r="B28" s="49" t="s">
        <v>271</v>
      </c>
      <c r="C28" s="42" t="s">
        <v>417</v>
      </c>
      <c r="D28" s="105">
        <v>707553376</v>
      </c>
      <c r="E28" s="105">
        <v>9194194193</v>
      </c>
      <c r="F28" s="42" t="s">
        <v>256</v>
      </c>
      <c r="G28" s="84">
        <f>34538+(364+182)</f>
        <v>35084</v>
      </c>
      <c r="H28" s="53" t="str">
        <f>CHOOSE(MONTH(G28),"Jan","Feb","Mar","Apr","May","Jun","Jul","Aug","Sep","Oct","Nov","Dec")</f>
        <v>Jan</v>
      </c>
      <c r="I28" s="54">
        <f ca="1">DATEDIF(G28,TODAY(),"Y")</f>
        <v>20</v>
      </c>
      <c r="J28" s="55" t="s">
        <v>276</v>
      </c>
      <c r="K28" s="56">
        <v>49260</v>
      </c>
      <c r="L28" s="57">
        <v>3</v>
      </c>
      <c r="M28" s="62">
        <f>ROUND(K28*P26+K28,0)</f>
        <v>49260</v>
      </c>
    </row>
    <row r="29" spans="1:32" x14ac:dyDescent="0.25">
      <c r="A29" s="42" t="s">
        <v>318</v>
      </c>
      <c r="B29" s="49" t="s">
        <v>271</v>
      </c>
      <c r="C29" s="42" t="s">
        <v>312</v>
      </c>
      <c r="D29" s="105">
        <v>923665952</v>
      </c>
      <c r="E29" s="105">
        <v>2525295649</v>
      </c>
      <c r="F29" s="42" t="s">
        <v>256</v>
      </c>
      <c r="G29" s="84">
        <f>34540+(364+182)</f>
        <v>35086</v>
      </c>
      <c r="H29" s="53" t="str">
        <f>CHOOSE(MONTH(G29),"Jan","Feb","Mar","Apr","May","Jun","Jul","Aug","Sep","Oct","Nov","Dec")</f>
        <v>Jan</v>
      </c>
      <c r="I29" s="54">
        <f ca="1">DATEDIF(G29,TODAY(),"Y")</f>
        <v>20</v>
      </c>
      <c r="J29" s="55" t="s">
        <v>267</v>
      </c>
      <c r="K29" s="56">
        <v>77350</v>
      </c>
      <c r="L29" s="57">
        <v>5</v>
      </c>
      <c r="M29" s="62">
        <f>ROUND(K29*P27+K29,0)</f>
        <v>77350</v>
      </c>
      <c r="N29" s="110"/>
    </row>
    <row r="30" spans="1:32" x14ac:dyDescent="0.25">
      <c r="A30" s="42" t="s">
        <v>850</v>
      </c>
      <c r="B30" s="49" t="s">
        <v>245</v>
      </c>
      <c r="C30" s="42" t="s">
        <v>767</v>
      </c>
      <c r="D30" s="105">
        <v>828715080</v>
      </c>
      <c r="E30" s="105">
        <v>2523613559</v>
      </c>
      <c r="F30" s="42" t="s">
        <v>256</v>
      </c>
      <c r="G30" s="84">
        <f>34548+(364+182)</f>
        <v>35094</v>
      </c>
      <c r="H30" s="53" t="str">
        <f>CHOOSE(MONTH(G30),"Jan","Feb","Mar","Apr","May","Jun","Jul","Aug","Sep","Oct","Nov","Dec")</f>
        <v>Jan</v>
      </c>
      <c r="I30" s="54">
        <f ca="1">DATEDIF(G30,TODAY(),"Y")</f>
        <v>20</v>
      </c>
      <c r="J30" s="55" t="s">
        <v>262</v>
      </c>
      <c r="K30" s="56">
        <v>61148</v>
      </c>
      <c r="L30" s="57">
        <v>2</v>
      </c>
      <c r="M30" s="62">
        <f>ROUND(K30*P28+K30,0)</f>
        <v>61148</v>
      </c>
    </row>
    <row r="31" spans="1:32" x14ac:dyDescent="0.25">
      <c r="A31" s="42" t="s">
        <v>694</v>
      </c>
      <c r="B31" s="49" t="s">
        <v>285</v>
      </c>
      <c r="C31" s="42" t="s">
        <v>678</v>
      </c>
      <c r="D31" s="105">
        <v>557568959</v>
      </c>
      <c r="E31" s="105">
        <v>9192783818</v>
      </c>
      <c r="F31" s="42" t="s">
        <v>247</v>
      </c>
      <c r="G31" s="84">
        <f>34901+(364+182)</f>
        <v>35447</v>
      </c>
      <c r="H31" s="53" t="str">
        <f>CHOOSE(MONTH(G31),"Jan","Feb","Mar","Apr","May","Jun","Jul","Aug","Sep","Oct","Nov","Dec")</f>
        <v>Jan</v>
      </c>
      <c r="I31" s="54">
        <f ca="1">DATEDIF(G31,TODAY(),"Y")</f>
        <v>19</v>
      </c>
      <c r="J31" s="55"/>
      <c r="K31" s="56">
        <v>54190</v>
      </c>
      <c r="L31" s="57">
        <v>4</v>
      </c>
      <c r="M31" s="62">
        <f>ROUND(K31*P29+K31,0)</f>
        <v>54190</v>
      </c>
    </row>
    <row r="32" spans="1:32" x14ac:dyDescent="0.25">
      <c r="A32" s="42" t="s">
        <v>389</v>
      </c>
      <c r="B32" s="49" t="s">
        <v>271</v>
      </c>
      <c r="C32" s="42" t="s">
        <v>381</v>
      </c>
      <c r="D32" s="105">
        <v>943671719</v>
      </c>
      <c r="E32" s="105">
        <v>9193517837</v>
      </c>
      <c r="F32" s="42" t="s">
        <v>256</v>
      </c>
      <c r="G32" s="84">
        <f>34903+(364+182)</f>
        <v>35449</v>
      </c>
      <c r="H32" s="53" t="str">
        <f>CHOOSE(MONTH(G32),"Jan","Feb","Mar","Apr","May","Jun","Jul","Aug","Sep","Oct","Nov","Dec")</f>
        <v>Jan</v>
      </c>
      <c r="I32" s="54">
        <f ca="1">DATEDIF(G32,TODAY(),"Y")</f>
        <v>19</v>
      </c>
      <c r="J32" s="55" t="s">
        <v>283</v>
      </c>
      <c r="K32" s="56">
        <v>22920</v>
      </c>
      <c r="L32" s="57">
        <v>3</v>
      </c>
      <c r="M32" s="62">
        <f>ROUND(K32*P30+K32,0)</f>
        <v>22920</v>
      </c>
    </row>
    <row r="33" spans="1:17" x14ac:dyDescent="0.25">
      <c r="A33" s="42" t="s">
        <v>542</v>
      </c>
      <c r="B33" s="49" t="s">
        <v>271</v>
      </c>
      <c r="C33" s="42" t="s">
        <v>465</v>
      </c>
      <c r="D33" s="105">
        <v>616417564</v>
      </c>
      <c r="E33" s="105">
        <v>9191806180</v>
      </c>
      <c r="F33" s="42" t="s">
        <v>247</v>
      </c>
      <c r="G33" s="84">
        <f>34905+(364+182)</f>
        <v>35451</v>
      </c>
      <c r="H33" s="53" t="str">
        <f>CHOOSE(MONTH(G33),"Jan","Feb","Mar","Apr","May","Jun","Jul","Aug","Sep","Oct","Nov","Dec")</f>
        <v>Jan</v>
      </c>
      <c r="I33" s="54">
        <f ca="1">DATEDIF(G33,TODAY(),"Y")</f>
        <v>19</v>
      </c>
      <c r="J33" s="55"/>
      <c r="K33" s="56">
        <v>42150</v>
      </c>
      <c r="L33" s="57">
        <v>5</v>
      </c>
      <c r="M33" s="62">
        <f>ROUND(K33*P31+K33,0)</f>
        <v>42150</v>
      </c>
    </row>
    <row r="34" spans="1:17" x14ac:dyDescent="0.25">
      <c r="A34" s="42" t="s">
        <v>699</v>
      </c>
      <c r="B34" s="49" t="s">
        <v>245</v>
      </c>
      <c r="C34" s="42" t="s">
        <v>700</v>
      </c>
      <c r="D34" s="105">
        <v>252582122</v>
      </c>
      <c r="E34" s="105">
        <v>9197764351</v>
      </c>
      <c r="F34" s="42" t="s">
        <v>247</v>
      </c>
      <c r="G34" s="84">
        <f>34905+(364+182)</f>
        <v>35451</v>
      </c>
      <c r="H34" s="53" t="str">
        <f>CHOOSE(MONTH(G34),"Jan","Feb","Mar","Apr","May","Jun","Jul","Aug","Sep","Oct","Nov","Dec")</f>
        <v>Jan</v>
      </c>
      <c r="I34" s="54">
        <f ca="1">DATEDIF(G34,TODAY(),"Y")</f>
        <v>19</v>
      </c>
      <c r="J34" s="55"/>
      <c r="K34" s="56">
        <v>25120</v>
      </c>
      <c r="L34" s="57">
        <v>2</v>
      </c>
      <c r="M34" s="62">
        <f>ROUND(K34*P32+K34,0)</f>
        <v>25120</v>
      </c>
    </row>
    <row r="35" spans="1:17" x14ac:dyDescent="0.25">
      <c r="A35" s="42" t="s">
        <v>912</v>
      </c>
      <c r="B35" s="49" t="s">
        <v>245</v>
      </c>
      <c r="C35" s="42" t="s">
        <v>856</v>
      </c>
      <c r="D35" s="105">
        <v>426014550</v>
      </c>
      <c r="E35" s="105">
        <v>2522889182</v>
      </c>
      <c r="F35" s="42" t="s">
        <v>256</v>
      </c>
      <c r="G35" s="84">
        <f>34905+(364+182)</f>
        <v>35451</v>
      </c>
      <c r="H35" s="53" t="str">
        <f>CHOOSE(MONTH(G35),"Jan","Feb","Mar","Apr","May","Jun","Jul","Aug","Sep","Oct","Nov","Dec")</f>
        <v>Jan</v>
      </c>
      <c r="I35" s="54">
        <f ca="1">DATEDIF(G35,TODAY(),"Y")</f>
        <v>19</v>
      </c>
      <c r="J35" s="55" t="s">
        <v>276</v>
      </c>
      <c r="K35" s="56">
        <v>62965</v>
      </c>
      <c r="L35" s="57">
        <v>1</v>
      </c>
      <c r="M35" s="62">
        <f>ROUND(K35*P33+K35,0)</f>
        <v>62965</v>
      </c>
    </row>
    <row r="36" spans="1:17" x14ac:dyDescent="0.25">
      <c r="A36" s="42" t="s">
        <v>300</v>
      </c>
      <c r="B36" s="49" t="s">
        <v>271</v>
      </c>
      <c r="C36" s="42" t="s">
        <v>296</v>
      </c>
      <c r="D36" s="105">
        <v>216607562</v>
      </c>
      <c r="E36" s="105">
        <v>2521593705</v>
      </c>
      <c r="F36" s="42" t="s">
        <v>256</v>
      </c>
      <c r="G36" s="84">
        <f>34913+(364+182)</f>
        <v>35459</v>
      </c>
      <c r="H36" s="53" t="str">
        <f>CHOOSE(MONTH(G36),"Jan","Feb","Mar","Apr","May","Jun","Jul","Aug","Sep","Oct","Nov","Dec")</f>
        <v>Jan</v>
      </c>
      <c r="I36" s="54">
        <f ca="1">DATEDIF(G36,TODAY(),"Y")</f>
        <v>19</v>
      </c>
      <c r="J36" s="55" t="s">
        <v>283</v>
      </c>
      <c r="K36" s="56">
        <v>49360</v>
      </c>
      <c r="L36" s="57">
        <v>2</v>
      </c>
      <c r="M36" s="62">
        <f>ROUND(K36*P34+K36,0)</f>
        <v>49360</v>
      </c>
    </row>
    <row r="37" spans="1:17" x14ac:dyDescent="0.25">
      <c r="A37" s="42" t="s">
        <v>605</v>
      </c>
      <c r="B37" s="49" t="s">
        <v>251</v>
      </c>
      <c r="C37" s="42" t="s">
        <v>465</v>
      </c>
      <c r="D37" s="105">
        <v>338977629</v>
      </c>
      <c r="E37" s="105">
        <v>2524252315</v>
      </c>
      <c r="F37" s="42" t="s">
        <v>256</v>
      </c>
      <c r="G37" s="84">
        <f>35255+(364+182)</f>
        <v>35801</v>
      </c>
      <c r="H37" s="53" t="str">
        <f>CHOOSE(MONTH(G37),"Jan","Feb","Mar","Apr","May","Jun","Jul","Aug","Sep","Oct","Nov","Dec")</f>
        <v>Jan</v>
      </c>
      <c r="I37" s="54">
        <f ca="1">DATEDIF(G37,TODAY(),"Y")</f>
        <v>18</v>
      </c>
      <c r="J37" s="55" t="s">
        <v>257</v>
      </c>
      <c r="K37" s="56">
        <v>78570</v>
      </c>
      <c r="L37" s="57">
        <v>1</v>
      </c>
      <c r="M37" s="62">
        <f>ROUND(K37*P35+K37,0)</f>
        <v>78570</v>
      </c>
    </row>
    <row r="38" spans="1:17" x14ac:dyDescent="0.25">
      <c r="A38" s="42" t="s">
        <v>927</v>
      </c>
      <c r="B38" s="49" t="s">
        <v>271</v>
      </c>
      <c r="C38" s="42" t="s">
        <v>856</v>
      </c>
      <c r="D38" s="105">
        <v>668708287</v>
      </c>
      <c r="E38" s="105">
        <v>9191952821</v>
      </c>
      <c r="F38" s="42" t="s">
        <v>247</v>
      </c>
      <c r="G38" s="84">
        <f>35260+(364+182)</f>
        <v>35806</v>
      </c>
      <c r="H38" s="53" t="str">
        <f>CHOOSE(MONTH(G38),"Jan","Feb","Mar","Apr","May","Jun","Jul","Aug","Sep","Oct","Nov","Dec")</f>
        <v>Jan</v>
      </c>
      <c r="I38" s="54">
        <f ca="1">DATEDIF(G38,TODAY(),"Y")</f>
        <v>18</v>
      </c>
      <c r="J38" s="55"/>
      <c r="K38" s="56">
        <v>86100</v>
      </c>
      <c r="L38" s="57">
        <v>4</v>
      </c>
      <c r="M38" s="62">
        <f>ROUND(K38*P36+K38,0)</f>
        <v>86100</v>
      </c>
      <c r="P38" s="78"/>
      <c r="Q38" s="78"/>
    </row>
    <row r="39" spans="1:17" x14ac:dyDescent="0.25">
      <c r="A39" s="42" t="s">
        <v>471</v>
      </c>
      <c r="B39" s="49" t="s">
        <v>251</v>
      </c>
      <c r="C39" s="42" t="s">
        <v>465</v>
      </c>
      <c r="D39" s="105">
        <v>100679868</v>
      </c>
      <c r="E39" s="105">
        <v>9198082183</v>
      </c>
      <c r="F39" s="42" t="s">
        <v>261</v>
      </c>
      <c r="G39" s="84">
        <f>35261+(364+182)</f>
        <v>35807</v>
      </c>
      <c r="H39" s="53" t="str">
        <f>CHOOSE(MONTH(G39),"Jan","Feb","Mar","Apr","May","Jun","Jul","Aug","Sep","Oct","Nov","Dec")</f>
        <v>Jan</v>
      </c>
      <c r="I39" s="54">
        <f ca="1">DATEDIF(G39,TODAY(),"Y")</f>
        <v>18</v>
      </c>
      <c r="J39" s="55" t="s">
        <v>257</v>
      </c>
      <c r="K39" s="56">
        <v>48835</v>
      </c>
      <c r="L39" s="57">
        <v>5</v>
      </c>
      <c r="M39" s="62">
        <f>ROUND(K39*P37+K39,0)</f>
        <v>48835</v>
      </c>
    </row>
    <row r="40" spans="1:17" x14ac:dyDescent="0.25">
      <c r="A40" s="42" t="s">
        <v>792</v>
      </c>
      <c r="B40" s="49" t="s">
        <v>245</v>
      </c>
      <c r="C40" s="42" t="s">
        <v>767</v>
      </c>
      <c r="D40" s="105">
        <v>217968415</v>
      </c>
      <c r="E40" s="105">
        <v>2522814530</v>
      </c>
      <c r="F40" s="42" t="s">
        <v>256</v>
      </c>
      <c r="G40" s="84">
        <f>35275+(364+182)</f>
        <v>35821</v>
      </c>
      <c r="H40" s="53" t="str">
        <f>CHOOSE(MONTH(G40),"Jan","Feb","Mar","Apr","May","Jun","Jul","Aug","Sep","Oct","Nov","Dec")</f>
        <v>Jan</v>
      </c>
      <c r="I40" s="54">
        <f ca="1">DATEDIF(G40,TODAY(),"Y")</f>
        <v>18</v>
      </c>
      <c r="J40" s="55" t="s">
        <v>267</v>
      </c>
      <c r="K40" s="56">
        <v>22870</v>
      </c>
      <c r="L40" s="57">
        <v>3</v>
      </c>
      <c r="M40" s="62">
        <f>ROUND(K40*P38+K40,0)</f>
        <v>22870</v>
      </c>
    </row>
    <row r="41" spans="1:17" x14ac:dyDescent="0.25">
      <c r="A41" s="42" t="s">
        <v>803</v>
      </c>
      <c r="B41" s="49" t="s">
        <v>280</v>
      </c>
      <c r="C41" s="42" t="s">
        <v>767</v>
      </c>
      <c r="D41" s="105">
        <v>451159170</v>
      </c>
      <c r="E41" s="105">
        <v>2522604602</v>
      </c>
      <c r="F41" s="42" t="s">
        <v>261</v>
      </c>
      <c r="G41" s="84">
        <f>35280+(364+182)</f>
        <v>35826</v>
      </c>
      <c r="H41" s="53" t="str">
        <f>CHOOSE(MONTH(G41),"Jan","Feb","Mar","Apr","May","Jun","Jul","Aug","Sep","Oct","Nov","Dec")</f>
        <v>Jan</v>
      </c>
      <c r="I41" s="54">
        <f ca="1">DATEDIF(G41,TODAY(),"Y")</f>
        <v>18</v>
      </c>
      <c r="J41" s="55" t="s">
        <v>257</v>
      </c>
      <c r="K41" s="56">
        <v>31205</v>
      </c>
      <c r="L41" s="57">
        <v>2</v>
      </c>
      <c r="M41" s="62">
        <f>ROUND(K41*P39+K41,0)</f>
        <v>31205</v>
      </c>
    </row>
    <row r="42" spans="1:17" x14ac:dyDescent="0.25">
      <c r="A42" s="42" t="s">
        <v>929</v>
      </c>
      <c r="B42" s="49" t="s">
        <v>285</v>
      </c>
      <c r="C42" s="42" t="s">
        <v>930</v>
      </c>
      <c r="D42" s="105">
        <v>695198896</v>
      </c>
      <c r="E42" s="105">
        <v>2523533906</v>
      </c>
      <c r="F42" s="42" t="s">
        <v>247</v>
      </c>
      <c r="G42" s="84">
        <f>35280+(364+182)</f>
        <v>35826</v>
      </c>
      <c r="H42" s="53" t="str">
        <f>CHOOSE(MONTH(G42),"Jan","Feb","Mar","Apr","May","Jun","Jul","Aug","Sep","Oct","Nov","Dec")</f>
        <v>Jan</v>
      </c>
      <c r="I42" s="54">
        <f ca="1">DATEDIF(G42,TODAY(),"Y")</f>
        <v>18</v>
      </c>
      <c r="J42" s="55"/>
      <c r="K42" s="56">
        <v>45030</v>
      </c>
      <c r="L42" s="57">
        <v>3</v>
      </c>
      <c r="M42" s="62">
        <f>ROUND(K42*P40+K42,0)</f>
        <v>45030</v>
      </c>
    </row>
    <row r="43" spans="1:17" x14ac:dyDescent="0.25">
      <c r="A43" s="48" t="s">
        <v>255</v>
      </c>
      <c r="B43" s="49" t="s">
        <v>245</v>
      </c>
      <c r="C43" s="48" t="s">
        <v>246</v>
      </c>
      <c r="D43" s="109">
        <v>100432924</v>
      </c>
      <c r="E43" s="109">
        <v>4022804104</v>
      </c>
      <c r="F43" s="48" t="s">
        <v>256</v>
      </c>
      <c r="G43" s="108">
        <f>35625+(364+182)</f>
        <v>36171</v>
      </c>
      <c r="H43" s="53" t="str">
        <f>CHOOSE(MONTH(G43),"Jan","Feb","Mar","Apr","May","Jun","Jul","Aug","Sep","Oct","Nov","Dec")</f>
        <v>Jan</v>
      </c>
      <c r="I43" s="54">
        <f ca="1">DATEDIF(G43,TODAY(),"Y")</f>
        <v>17</v>
      </c>
      <c r="J43" s="55" t="s">
        <v>257</v>
      </c>
      <c r="K43" s="56">
        <v>24550</v>
      </c>
      <c r="L43" s="57">
        <v>1</v>
      </c>
      <c r="M43" s="62">
        <f>ROUND(K43*P41+K43,0)</f>
        <v>24550</v>
      </c>
      <c r="N43" s="110"/>
      <c r="O43" s="107"/>
    </row>
    <row r="44" spans="1:17" x14ac:dyDescent="0.25">
      <c r="A44" s="42" t="s">
        <v>687</v>
      </c>
      <c r="B44" s="49" t="s">
        <v>271</v>
      </c>
      <c r="C44" s="42" t="s">
        <v>678</v>
      </c>
      <c r="D44" s="105">
        <v>332302868</v>
      </c>
      <c r="E44" s="105">
        <v>9196109756</v>
      </c>
      <c r="F44" s="42" t="s">
        <v>256</v>
      </c>
      <c r="G44" s="84">
        <f>35629+(364+182)</f>
        <v>36175</v>
      </c>
      <c r="H44" s="53" t="str">
        <f>CHOOSE(MONTH(G44),"Jan","Feb","Mar","Apr","May","Jun","Jul","Aug","Sep","Oct","Nov","Dec")</f>
        <v>Jan</v>
      </c>
      <c r="I44" s="54">
        <f ca="1">DATEDIF(G44,TODAY(),"Y")</f>
        <v>17</v>
      </c>
      <c r="J44" s="55" t="s">
        <v>283</v>
      </c>
      <c r="K44" s="56">
        <v>23520</v>
      </c>
      <c r="L44" s="57">
        <v>2</v>
      </c>
      <c r="M44" s="62">
        <f>ROUND(K44*P42+K44,0)</f>
        <v>23520</v>
      </c>
    </row>
    <row r="45" spans="1:17" x14ac:dyDescent="0.25">
      <c r="A45" s="42" t="s">
        <v>399</v>
      </c>
      <c r="B45" s="49" t="s">
        <v>251</v>
      </c>
      <c r="C45" s="42" t="s">
        <v>391</v>
      </c>
      <c r="D45" s="105">
        <v>843875501</v>
      </c>
      <c r="E45" s="105">
        <v>2522715355</v>
      </c>
      <c r="F45" s="42" t="s">
        <v>247</v>
      </c>
      <c r="G45" s="84">
        <f>35630+(364+182)</f>
        <v>36176</v>
      </c>
      <c r="H45" s="53" t="str">
        <f>CHOOSE(MONTH(G45),"Jan","Feb","Mar","Apr","May","Jun","Jul","Aug","Sep","Oct","Nov","Dec")</f>
        <v>Jan</v>
      </c>
      <c r="I45" s="54">
        <f ca="1">DATEDIF(G45,TODAY(),"Y")</f>
        <v>17</v>
      </c>
      <c r="J45" s="55"/>
      <c r="K45" s="56">
        <v>32940</v>
      </c>
      <c r="L45" s="57">
        <v>5</v>
      </c>
      <c r="M45" s="62">
        <f>ROUND(K45*P43+K45,0)</f>
        <v>32940</v>
      </c>
    </row>
    <row r="46" spans="1:17" x14ac:dyDescent="0.25">
      <c r="A46" s="42" t="s">
        <v>556</v>
      </c>
      <c r="B46" s="49" t="s">
        <v>271</v>
      </c>
      <c r="C46" s="42" t="s">
        <v>465</v>
      </c>
      <c r="D46" s="105">
        <v>569701716</v>
      </c>
      <c r="E46" s="105">
        <v>2527461285</v>
      </c>
      <c r="F46" s="42" t="s">
        <v>261</v>
      </c>
      <c r="G46" s="84">
        <f>35631+(364+182)</f>
        <v>36177</v>
      </c>
      <c r="H46" s="53" t="str">
        <f>CHOOSE(MONTH(G46),"Jan","Feb","Mar","Apr","May","Jun","Jul","Aug","Sep","Oct","Nov","Dec")</f>
        <v>Jan</v>
      </c>
      <c r="I46" s="54">
        <f ca="1">DATEDIF(G46,TODAY(),"Y")</f>
        <v>17</v>
      </c>
      <c r="J46" s="55" t="s">
        <v>267</v>
      </c>
      <c r="K46" s="56">
        <v>21670</v>
      </c>
      <c r="L46" s="57">
        <v>2</v>
      </c>
      <c r="M46" s="62">
        <f>ROUND(K46*P44+K46,0)</f>
        <v>21670</v>
      </c>
    </row>
    <row r="47" spans="1:17" x14ac:dyDescent="0.25">
      <c r="A47" s="42" t="s">
        <v>383</v>
      </c>
      <c r="B47" s="49" t="s">
        <v>280</v>
      </c>
      <c r="C47" s="42" t="s">
        <v>381</v>
      </c>
      <c r="D47" s="105">
        <v>313651312</v>
      </c>
      <c r="E47" s="105">
        <v>2526092172</v>
      </c>
      <c r="F47" s="42" t="s">
        <v>256</v>
      </c>
      <c r="G47" s="84">
        <f>35636+(364+182)</f>
        <v>36182</v>
      </c>
      <c r="H47" s="53" t="str">
        <f>CHOOSE(MONTH(G47),"Jan","Feb","Mar","Apr","May","Jun","Jul","Aug","Sep","Oct","Nov","Dec")</f>
        <v>Jan</v>
      </c>
      <c r="I47" s="54">
        <f ca="1">DATEDIF(G47,TODAY(),"Y")</f>
        <v>17</v>
      </c>
      <c r="J47" s="55" t="s">
        <v>283</v>
      </c>
      <c r="K47" s="56">
        <v>68300</v>
      </c>
      <c r="L47" s="57">
        <v>5</v>
      </c>
      <c r="M47" s="62">
        <f>ROUND(K47*P45+K47,0)</f>
        <v>68300</v>
      </c>
    </row>
    <row r="48" spans="1:17" x14ac:dyDescent="0.25">
      <c r="A48" s="42" t="s">
        <v>855</v>
      </c>
      <c r="B48" s="49" t="s">
        <v>285</v>
      </c>
      <c r="C48" s="42" t="s">
        <v>856</v>
      </c>
      <c r="D48" s="105">
        <v>337411408</v>
      </c>
      <c r="E48" s="105">
        <v>9194729409</v>
      </c>
      <c r="F48" s="42" t="s">
        <v>256</v>
      </c>
      <c r="G48" s="84">
        <f>35980+(364+182)</f>
        <v>36526</v>
      </c>
      <c r="H48" s="53" t="str">
        <f>CHOOSE(MONTH(G48),"Jan","Feb","Mar","Apr","May","Jun","Jul","Aug","Sep","Oct","Nov","Dec")</f>
        <v>Jan</v>
      </c>
      <c r="I48" s="54">
        <f ca="1">DATEDIF(G48,TODAY(),"Y")</f>
        <v>16</v>
      </c>
      <c r="J48" s="55" t="s">
        <v>257</v>
      </c>
      <c r="K48" s="56">
        <v>29260</v>
      </c>
      <c r="L48" s="57">
        <v>4</v>
      </c>
      <c r="M48" s="62">
        <f>ROUND(K48*P46+K48,0)</f>
        <v>29260</v>
      </c>
    </row>
    <row r="49" spans="1:17" x14ac:dyDescent="0.25">
      <c r="A49" s="42" t="s">
        <v>895</v>
      </c>
      <c r="B49" s="49" t="s">
        <v>271</v>
      </c>
      <c r="C49" s="42" t="s">
        <v>856</v>
      </c>
      <c r="D49" s="105">
        <v>836953739</v>
      </c>
      <c r="E49" s="105">
        <v>2526443692</v>
      </c>
      <c r="F49" s="42" t="s">
        <v>261</v>
      </c>
      <c r="G49" s="84">
        <f>35985+(364+182)</f>
        <v>36531</v>
      </c>
      <c r="H49" s="53" t="str">
        <f>CHOOSE(MONTH(G49),"Jan","Feb","Mar","Apr","May","Jun","Jul","Aug","Sep","Oct","Nov","Dec")</f>
        <v>Jan</v>
      </c>
      <c r="I49" s="54">
        <f ca="1">DATEDIF(G49,TODAY(),"Y")</f>
        <v>16</v>
      </c>
      <c r="J49" s="55" t="s">
        <v>267</v>
      </c>
      <c r="K49" s="56">
        <v>20990</v>
      </c>
      <c r="L49" s="57">
        <v>4</v>
      </c>
      <c r="M49" s="62">
        <f>ROUND(K49*P47+K49,0)</f>
        <v>20990</v>
      </c>
    </row>
    <row r="50" spans="1:17" x14ac:dyDescent="0.25">
      <c r="A50" s="42" t="s">
        <v>569</v>
      </c>
      <c r="B50" s="49" t="s">
        <v>271</v>
      </c>
      <c r="C50" s="42" t="s">
        <v>465</v>
      </c>
      <c r="D50" s="105">
        <v>914326052</v>
      </c>
      <c r="E50" s="105">
        <v>2524249228</v>
      </c>
      <c r="F50" s="42" t="s">
        <v>256</v>
      </c>
      <c r="G50" s="84">
        <f>35989+(364+182)</f>
        <v>36535</v>
      </c>
      <c r="H50" s="53" t="str">
        <f>CHOOSE(MONTH(G50),"Jan","Feb","Mar","Apr","May","Jun","Jul","Aug","Sep","Oct","Nov","Dec")</f>
        <v>Jan</v>
      </c>
      <c r="I50" s="54">
        <f ca="1">DATEDIF(G50,TODAY(),"Y")</f>
        <v>16</v>
      </c>
      <c r="J50" s="55" t="s">
        <v>257</v>
      </c>
      <c r="K50" s="56">
        <v>76192</v>
      </c>
      <c r="L50" s="57">
        <v>4</v>
      </c>
      <c r="M50" s="62">
        <f>ROUND(K50*P48+K50,0)</f>
        <v>76192</v>
      </c>
    </row>
    <row r="51" spans="1:17" x14ac:dyDescent="0.25">
      <c r="A51" s="42" t="s">
        <v>806</v>
      </c>
      <c r="B51" s="49" t="s">
        <v>271</v>
      </c>
      <c r="C51" s="42" t="s">
        <v>767</v>
      </c>
      <c r="D51" s="105">
        <v>113252240</v>
      </c>
      <c r="E51" s="105">
        <v>2526712695</v>
      </c>
      <c r="F51" s="42" t="s">
        <v>256</v>
      </c>
      <c r="G51" s="84">
        <f>35990+(364+182)</f>
        <v>36536</v>
      </c>
      <c r="H51" s="53" t="str">
        <f>CHOOSE(MONTH(G51),"Jan","Feb","Mar","Apr","May","Jun","Jul","Aug","Sep","Oct","Nov","Dec")</f>
        <v>Jan</v>
      </c>
      <c r="I51" s="54">
        <f ca="1">DATEDIF(G51,TODAY(),"Y")</f>
        <v>16</v>
      </c>
      <c r="J51" s="55" t="s">
        <v>257</v>
      </c>
      <c r="K51" s="56">
        <v>62400</v>
      </c>
      <c r="L51" s="57">
        <v>4</v>
      </c>
      <c r="M51" s="62">
        <f>ROUND(K51*P49+K51,0)</f>
        <v>62400</v>
      </c>
    </row>
    <row r="52" spans="1:17" x14ac:dyDescent="0.25">
      <c r="A52" s="42" t="s">
        <v>931</v>
      </c>
      <c r="B52" s="49" t="s">
        <v>285</v>
      </c>
      <c r="C52" s="42" t="s">
        <v>930</v>
      </c>
      <c r="D52" s="105">
        <v>380304349</v>
      </c>
      <c r="E52" s="105">
        <v>2526129939</v>
      </c>
      <c r="F52" s="42" t="s">
        <v>256</v>
      </c>
      <c r="G52" s="84">
        <f>36003+(364+182)</f>
        <v>36549</v>
      </c>
      <c r="H52" s="53" t="str">
        <f>CHOOSE(MONTH(G52),"Jan","Feb","Mar","Apr","May","Jun","Jul","Aug","Sep","Oct","Nov","Dec")</f>
        <v>Jan</v>
      </c>
      <c r="I52" s="54">
        <f ca="1">DATEDIF(G52,TODAY(),"Y")</f>
        <v>16</v>
      </c>
      <c r="J52" s="55" t="s">
        <v>283</v>
      </c>
      <c r="K52" s="56">
        <v>35460</v>
      </c>
      <c r="L52" s="57">
        <v>1</v>
      </c>
      <c r="M52" s="62">
        <f>ROUND(K52*P50+K52,0)</f>
        <v>35460</v>
      </c>
    </row>
    <row r="53" spans="1:17" x14ac:dyDescent="0.25">
      <c r="A53" s="42" t="s">
        <v>303</v>
      </c>
      <c r="B53" s="49" t="s">
        <v>245</v>
      </c>
      <c r="C53" s="42" t="s">
        <v>296</v>
      </c>
      <c r="D53" s="105">
        <v>278431222</v>
      </c>
      <c r="E53" s="105">
        <v>9196699611</v>
      </c>
      <c r="F53" s="42" t="s">
        <v>256</v>
      </c>
      <c r="G53" s="84">
        <f>36347+(364+182)</f>
        <v>36893</v>
      </c>
      <c r="H53" s="53" t="str">
        <f>CHOOSE(MONTH(G53),"Jan","Feb","Mar","Apr","May","Jun","Jul","Aug","Sep","Oct","Nov","Dec")</f>
        <v>Jan</v>
      </c>
      <c r="I53" s="54">
        <f ca="1">DATEDIF(G53,TODAY(),"Y")</f>
        <v>15</v>
      </c>
      <c r="J53" s="55" t="s">
        <v>283</v>
      </c>
      <c r="K53" s="56">
        <v>33640</v>
      </c>
      <c r="L53" s="57">
        <v>3</v>
      </c>
      <c r="M53" s="62">
        <f>ROUND(K53*P51+K53,0)</f>
        <v>33640</v>
      </c>
      <c r="P53" s="78"/>
      <c r="Q53" s="78"/>
    </row>
    <row r="54" spans="1:17" x14ac:dyDescent="0.25">
      <c r="A54" s="42" t="s">
        <v>358</v>
      </c>
      <c r="B54" s="49" t="s">
        <v>266</v>
      </c>
      <c r="C54" s="42" t="s">
        <v>312</v>
      </c>
      <c r="D54" s="105">
        <v>867671341</v>
      </c>
      <c r="E54" s="105">
        <v>2528317543</v>
      </c>
      <c r="F54" s="42" t="s">
        <v>261</v>
      </c>
      <c r="G54" s="84">
        <f>36350+(364+182)</f>
        <v>36896</v>
      </c>
      <c r="H54" s="53" t="str">
        <f>CHOOSE(MONTH(G54),"Jan","Feb","Mar","Apr","May","Jun","Jul","Aug","Sep","Oct","Nov","Dec")</f>
        <v>Jan</v>
      </c>
      <c r="I54" s="54">
        <f ca="1">DATEDIF(G54,TODAY(),"Y")</f>
        <v>15</v>
      </c>
      <c r="J54" s="55" t="s">
        <v>257</v>
      </c>
      <c r="K54" s="56">
        <v>35280</v>
      </c>
      <c r="L54" s="57">
        <v>3</v>
      </c>
      <c r="M54" s="62">
        <f>ROUND(K54*P52+K54,0)</f>
        <v>35280</v>
      </c>
    </row>
    <row r="55" spans="1:17" x14ac:dyDescent="0.25">
      <c r="A55" s="42" t="s">
        <v>698</v>
      </c>
      <c r="B55" s="49" t="s">
        <v>271</v>
      </c>
      <c r="C55" s="42" t="s">
        <v>678</v>
      </c>
      <c r="D55" s="105">
        <v>221364716</v>
      </c>
      <c r="E55" s="105">
        <v>2521389906</v>
      </c>
      <c r="F55" s="42" t="s">
        <v>256</v>
      </c>
      <c r="G55" s="84">
        <f>36352+(364+182)</f>
        <v>36898</v>
      </c>
      <c r="H55" s="53" t="str">
        <f>CHOOSE(MONTH(G55),"Jan","Feb","Mar","Apr","May","Jun","Jul","Aug","Sep","Oct","Nov","Dec")</f>
        <v>Jan</v>
      </c>
      <c r="I55" s="54">
        <f ca="1">DATEDIF(G55,TODAY(),"Y")</f>
        <v>15</v>
      </c>
      <c r="J55" s="55" t="s">
        <v>257</v>
      </c>
      <c r="K55" s="56">
        <v>71820</v>
      </c>
      <c r="L55" s="57">
        <v>2</v>
      </c>
      <c r="M55" s="62">
        <f>ROUND(K55*P53+K55,0)</f>
        <v>71820</v>
      </c>
    </row>
    <row r="56" spans="1:17" x14ac:dyDescent="0.25">
      <c r="A56" s="42" t="s">
        <v>999</v>
      </c>
      <c r="B56" s="49" t="s">
        <v>285</v>
      </c>
      <c r="C56" s="42" t="s">
        <v>930</v>
      </c>
      <c r="D56" s="105">
        <v>879114558</v>
      </c>
      <c r="E56" s="105">
        <v>9194557504</v>
      </c>
      <c r="F56" s="42" t="s">
        <v>261</v>
      </c>
      <c r="G56" s="84">
        <f>36372+(364+182)</f>
        <v>36918</v>
      </c>
      <c r="H56" s="53" t="str">
        <f>CHOOSE(MONTH(G56),"Jan","Feb","Mar","Apr","May","Jun","Jul","Aug","Sep","Oct","Nov","Dec")</f>
        <v>Jan</v>
      </c>
      <c r="I56" s="54">
        <f ca="1">DATEDIF(G56,TODAY(),"Y")</f>
        <v>15</v>
      </c>
      <c r="J56" s="55" t="s">
        <v>257</v>
      </c>
      <c r="K56" s="56">
        <v>17205</v>
      </c>
      <c r="L56" s="57">
        <v>5</v>
      </c>
      <c r="M56" s="62">
        <f>ROUND(K56*P54+K56,0)</f>
        <v>17205</v>
      </c>
    </row>
    <row r="57" spans="1:17" x14ac:dyDescent="0.25">
      <c r="A57" s="42" t="s">
        <v>864</v>
      </c>
      <c r="B57" s="49" t="s">
        <v>266</v>
      </c>
      <c r="C57" s="42" t="s">
        <v>856</v>
      </c>
      <c r="D57" s="105">
        <v>313648228</v>
      </c>
      <c r="E57" s="105">
        <v>2524998145</v>
      </c>
      <c r="F57" s="42" t="s">
        <v>256</v>
      </c>
      <c r="G57" s="84">
        <f>37079+(364+182)</f>
        <v>37625</v>
      </c>
      <c r="H57" s="53" t="str">
        <f>CHOOSE(MONTH(G57),"Jan","Feb","Mar","Apr","May","Jun","Jul","Aug","Sep","Oct","Nov","Dec")</f>
        <v>Jan</v>
      </c>
      <c r="I57" s="54">
        <f ca="1">DATEDIF(G57,TODAY(),"Y")</f>
        <v>13</v>
      </c>
      <c r="J57" s="55" t="s">
        <v>283</v>
      </c>
      <c r="K57" s="56">
        <v>82490</v>
      </c>
      <c r="L57" s="57">
        <v>5</v>
      </c>
      <c r="M57" s="62">
        <f>ROUND(K57*P55+K57,0)</f>
        <v>82490</v>
      </c>
    </row>
    <row r="58" spans="1:17" x14ac:dyDescent="0.25">
      <c r="A58" s="42" t="s">
        <v>588</v>
      </c>
      <c r="B58" s="49" t="s">
        <v>285</v>
      </c>
      <c r="C58" s="42" t="s">
        <v>465</v>
      </c>
      <c r="D58" s="105">
        <v>948480407</v>
      </c>
      <c r="E58" s="105">
        <v>9191449596</v>
      </c>
      <c r="F58" s="42" t="s">
        <v>247</v>
      </c>
      <c r="G58" s="84">
        <f>37088+(364+182)</f>
        <v>37634</v>
      </c>
      <c r="H58" s="53" t="str">
        <f>CHOOSE(MONTH(G58),"Jan","Feb","Mar","Apr","May","Jun","Jul","Aug","Sep","Oct","Nov","Dec")</f>
        <v>Jan</v>
      </c>
      <c r="I58" s="54">
        <f ca="1">DATEDIF(G58,TODAY(),"Y")</f>
        <v>13</v>
      </c>
      <c r="J58" s="55"/>
      <c r="K58" s="56">
        <v>61370</v>
      </c>
      <c r="L58" s="57">
        <v>3</v>
      </c>
      <c r="M58" s="62">
        <f>ROUND(K58*P56+K58,0)</f>
        <v>61370</v>
      </c>
      <c r="P58" s="78"/>
      <c r="Q58" s="78"/>
    </row>
    <row r="59" spans="1:17" x14ac:dyDescent="0.25">
      <c r="A59" s="42" t="s">
        <v>418</v>
      </c>
      <c r="B59" s="49" t="s">
        <v>285</v>
      </c>
      <c r="C59" s="42" t="s">
        <v>417</v>
      </c>
      <c r="D59" s="105">
        <v>575648597</v>
      </c>
      <c r="E59" s="105">
        <v>9198865267</v>
      </c>
      <c r="F59" s="42" t="s">
        <v>247</v>
      </c>
      <c r="G59" s="84">
        <f>37095+(364+182)</f>
        <v>37641</v>
      </c>
      <c r="H59" s="53" t="str">
        <f>CHOOSE(MONTH(G59),"Jan","Feb","Mar","Apr","May","Jun","Jul","Aug","Sep","Oct","Nov","Dec")</f>
        <v>Jan</v>
      </c>
      <c r="I59" s="54">
        <f ca="1">DATEDIF(G59,TODAY(),"Y")</f>
        <v>13</v>
      </c>
      <c r="J59" s="55"/>
      <c r="K59" s="56">
        <v>31970</v>
      </c>
      <c r="L59" s="57">
        <v>5</v>
      </c>
      <c r="M59" s="62">
        <f>ROUND(K59*P57+K59,0)</f>
        <v>31970</v>
      </c>
    </row>
    <row r="60" spans="1:17" x14ac:dyDescent="0.25">
      <c r="A60" s="42" t="s">
        <v>893</v>
      </c>
      <c r="B60" s="49" t="s">
        <v>280</v>
      </c>
      <c r="C60" s="42" t="s">
        <v>856</v>
      </c>
      <c r="D60" s="105">
        <v>666194498</v>
      </c>
      <c r="E60" s="105">
        <v>2526593848</v>
      </c>
      <c r="F60" s="42" t="s">
        <v>256</v>
      </c>
      <c r="G60" s="84">
        <f>37807+(364+182)</f>
        <v>38353</v>
      </c>
      <c r="H60" s="53" t="str">
        <f>CHOOSE(MONTH(G60),"Jan","Feb","Mar","Apr","May","Jun","Jul","Aug","Sep","Oct","Nov","Dec")</f>
        <v>Jan</v>
      </c>
      <c r="I60" s="54">
        <f ca="1">DATEDIF(G60,TODAY(),"Y")</f>
        <v>11</v>
      </c>
      <c r="J60" s="55" t="s">
        <v>283</v>
      </c>
      <c r="K60" s="56">
        <v>83710</v>
      </c>
      <c r="L60" s="57">
        <v>3</v>
      </c>
      <c r="M60" s="62">
        <f>ROUND(K60*P58+K60,0)</f>
        <v>83710</v>
      </c>
      <c r="P60" s="78"/>
      <c r="Q60" s="78"/>
    </row>
    <row r="61" spans="1:17" x14ac:dyDescent="0.25">
      <c r="A61" s="42" t="s">
        <v>627</v>
      </c>
      <c r="B61" s="49" t="s">
        <v>285</v>
      </c>
      <c r="C61" s="42" t="s">
        <v>626</v>
      </c>
      <c r="D61" s="105">
        <v>364404060</v>
      </c>
      <c r="E61" s="105">
        <v>2527722509</v>
      </c>
      <c r="F61" s="42" t="s">
        <v>261</v>
      </c>
      <c r="G61" s="84">
        <f>37816+(364+182)</f>
        <v>38362</v>
      </c>
      <c r="H61" s="53" t="str">
        <f>CHOOSE(MONTH(G61),"Jan","Feb","Mar","Apr","May","Jun","Jul","Aug","Sep","Oct","Nov","Dec")</f>
        <v>Jan</v>
      </c>
      <c r="I61" s="54">
        <f ca="1">DATEDIF(G61,TODAY(),"Y")</f>
        <v>11</v>
      </c>
      <c r="J61" s="55" t="s">
        <v>257</v>
      </c>
      <c r="K61" s="56">
        <v>31255</v>
      </c>
      <c r="L61" s="57">
        <v>5</v>
      </c>
      <c r="M61" s="62">
        <f>ROUND(K61*P59+K61,0)</f>
        <v>31255</v>
      </c>
    </row>
    <row r="62" spans="1:17" x14ac:dyDescent="0.25">
      <c r="A62" s="42" t="s">
        <v>499</v>
      </c>
      <c r="B62" s="49" t="s">
        <v>280</v>
      </c>
      <c r="C62" s="42" t="s">
        <v>465</v>
      </c>
      <c r="D62" s="105">
        <v>620336005</v>
      </c>
      <c r="E62" s="105">
        <v>9196422185</v>
      </c>
      <c r="F62" s="42" t="s">
        <v>256</v>
      </c>
      <c r="G62" s="84">
        <f>37831+(364+182)</f>
        <v>38377</v>
      </c>
      <c r="H62" s="53" t="str">
        <f>CHOOSE(MONTH(G62),"Jan","Feb","Mar","Apr","May","Jun","Jul","Aug","Sep","Oct","Nov","Dec")</f>
        <v>Jan</v>
      </c>
      <c r="I62" s="54">
        <f ca="1">DATEDIF(G62,TODAY(),"Y")</f>
        <v>11</v>
      </c>
      <c r="J62" s="55" t="s">
        <v>257</v>
      </c>
      <c r="K62" s="56">
        <v>41060</v>
      </c>
      <c r="L62" s="57">
        <v>3</v>
      </c>
      <c r="M62" s="62">
        <f>ROUND(K62*P60+K62,0)</f>
        <v>41060</v>
      </c>
    </row>
    <row r="63" spans="1:17" x14ac:dyDescent="0.25">
      <c r="A63" s="42" t="s">
        <v>608</v>
      </c>
      <c r="B63" s="49" t="s">
        <v>285</v>
      </c>
      <c r="C63" s="42" t="s">
        <v>465</v>
      </c>
      <c r="D63" s="105">
        <v>564908088</v>
      </c>
      <c r="E63" s="105">
        <v>9193386758</v>
      </c>
      <c r="F63" s="42" t="s">
        <v>256</v>
      </c>
      <c r="G63" s="84">
        <f>37831+(364+182)</f>
        <v>38377</v>
      </c>
      <c r="H63" s="53" t="str">
        <f>CHOOSE(MONTH(G63),"Jan","Feb","Mar","Apr","May","Jun","Jul","Aug","Sep","Oct","Nov","Dec")</f>
        <v>Jan</v>
      </c>
      <c r="I63" s="54">
        <f ca="1">DATEDIF(G63,TODAY(),"Y")</f>
        <v>11</v>
      </c>
      <c r="J63" s="55" t="s">
        <v>257</v>
      </c>
      <c r="K63" s="56">
        <v>87760</v>
      </c>
      <c r="L63" s="57">
        <v>1</v>
      </c>
      <c r="M63" s="62">
        <f>ROUND(K63*P61+K63,0)</f>
        <v>87760</v>
      </c>
    </row>
    <row r="64" spans="1:17" x14ac:dyDescent="0.25">
      <c r="A64" s="42" t="s">
        <v>811</v>
      </c>
      <c r="B64" s="49" t="s">
        <v>266</v>
      </c>
      <c r="C64" s="42" t="s">
        <v>767</v>
      </c>
      <c r="D64" s="105">
        <v>437460422</v>
      </c>
      <c r="E64" s="105">
        <v>2528439277</v>
      </c>
      <c r="F64" s="42" t="s">
        <v>261</v>
      </c>
      <c r="G64" s="84">
        <f>38177+(364+182)</f>
        <v>38723</v>
      </c>
      <c r="H64" s="53" t="str">
        <f>CHOOSE(MONTH(G64),"Jan","Feb","Mar","Apr","May","Jun","Jul","Aug","Sep","Oct","Nov","Dec")</f>
        <v>Jan</v>
      </c>
      <c r="I64" s="54">
        <f ca="1">DATEDIF(G64,TODAY(),"Y")</f>
        <v>10</v>
      </c>
      <c r="J64" s="55" t="s">
        <v>283</v>
      </c>
      <c r="K64" s="56">
        <v>10630</v>
      </c>
      <c r="L64" s="57">
        <v>3</v>
      </c>
      <c r="M64" s="62">
        <f>ROUND(K64*P62+K64,0)</f>
        <v>10630</v>
      </c>
    </row>
    <row r="65" spans="1:15" x14ac:dyDescent="0.25">
      <c r="A65" s="42" t="s">
        <v>507</v>
      </c>
      <c r="B65" s="49" t="s">
        <v>245</v>
      </c>
      <c r="C65" s="42" t="s">
        <v>465</v>
      </c>
      <c r="D65" s="105">
        <v>405396173</v>
      </c>
      <c r="E65" s="105">
        <v>2521777060</v>
      </c>
      <c r="F65" s="42" t="s">
        <v>256</v>
      </c>
      <c r="G65" s="84">
        <f>38187+(364+182)</f>
        <v>38733</v>
      </c>
      <c r="H65" s="53" t="str">
        <f>CHOOSE(MONTH(G65),"Jan","Feb","Mar","Apr","May","Jun","Jul","Aug","Sep","Oct","Nov","Dec")</f>
        <v>Jan</v>
      </c>
      <c r="I65" s="54">
        <f ca="1">DATEDIF(G65,TODAY(),"Y")</f>
        <v>10</v>
      </c>
      <c r="J65" s="55" t="s">
        <v>276</v>
      </c>
      <c r="K65" s="56">
        <v>68710</v>
      </c>
      <c r="L65" s="57">
        <v>4</v>
      </c>
      <c r="M65" s="62">
        <f>ROUND(K65*P63+K65,0)</f>
        <v>68710</v>
      </c>
    </row>
    <row r="66" spans="1:15" x14ac:dyDescent="0.25">
      <c r="A66" s="42" t="s">
        <v>593</v>
      </c>
      <c r="B66" s="49" t="s">
        <v>245</v>
      </c>
      <c r="C66" s="42" t="s">
        <v>465</v>
      </c>
      <c r="D66" s="105">
        <v>328787467</v>
      </c>
      <c r="E66" s="105">
        <v>9194897618</v>
      </c>
      <c r="F66" s="42" t="s">
        <v>252</v>
      </c>
      <c r="G66" s="84">
        <f>38541+(364+182)</f>
        <v>39087</v>
      </c>
      <c r="H66" s="53" t="str">
        <f>CHOOSE(MONTH(G66),"Jan","Feb","Mar","Apr","May","Jun","Jul","Aug","Sep","Oct","Nov","Dec")</f>
        <v>Jan</v>
      </c>
      <c r="I66" s="54">
        <f ca="1">DATEDIF(G66,TODAY(),"Y")</f>
        <v>9</v>
      </c>
      <c r="J66" s="55"/>
      <c r="K66" s="56">
        <v>14416</v>
      </c>
      <c r="L66" s="57">
        <v>4</v>
      </c>
      <c r="M66" s="62">
        <f>ROUND(K66*P64+K66,0)</f>
        <v>14416</v>
      </c>
    </row>
    <row r="67" spans="1:15" x14ac:dyDescent="0.25">
      <c r="A67" s="42" t="s">
        <v>629</v>
      </c>
      <c r="B67" s="49" t="s">
        <v>245</v>
      </c>
      <c r="C67" s="42" t="s">
        <v>626</v>
      </c>
      <c r="D67" s="105">
        <v>980960186</v>
      </c>
      <c r="E67" s="105">
        <v>9191517218</v>
      </c>
      <c r="F67" s="42" t="s">
        <v>261</v>
      </c>
      <c r="G67" s="84">
        <f>38552+(364+182)</f>
        <v>39098</v>
      </c>
      <c r="H67" s="53" t="str">
        <f>CHOOSE(MONTH(G67),"Jan","Feb","Mar","Apr","May","Jun","Jul","Aug","Sep","Oct","Nov","Dec")</f>
        <v>Jan</v>
      </c>
      <c r="I67" s="54">
        <f ca="1">DATEDIF(G67,TODAY(),"Y")</f>
        <v>9</v>
      </c>
      <c r="J67" s="55" t="s">
        <v>283</v>
      </c>
      <c r="K67" s="56">
        <v>47705</v>
      </c>
      <c r="L67" s="57">
        <v>5</v>
      </c>
      <c r="M67" s="62">
        <f>ROUND(K67*P65+K67,0)</f>
        <v>47705</v>
      </c>
    </row>
    <row r="68" spans="1:15" x14ac:dyDescent="0.25">
      <c r="A68" s="42" t="s">
        <v>501</v>
      </c>
      <c r="B68" s="49" t="s">
        <v>266</v>
      </c>
      <c r="C68" s="42" t="s">
        <v>465</v>
      </c>
      <c r="D68" s="105">
        <v>292993080</v>
      </c>
      <c r="E68" s="105">
        <v>2525085320</v>
      </c>
      <c r="F68" s="42" t="s">
        <v>256</v>
      </c>
      <c r="G68" s="84">
        <f>38909+(364+182)</f>
        <v>39455</v>
      </c>
      <c r="H68" s="53" t="str">
        <f>CHOOSE(MONTH(G68),"Jan","Feb","Mar","Apr","May","Jun","Jul","Aug","Sep","Oct","Nov","Dec")</f>
        <v>Jan</v>
      </c>
      <c r="I68" s="54">
        <f ca="1">DATEDIF(G68,TODAY(),"Y")</f>
        <v>8</v>
      </c>
      <c r="J68" s="55" t="s">
        <v>283</v>
      </c>
      <c r="K68" s="56">
        <v>59420</v>
      </c>
      <c r="L68" s="57">
        <v>4</v>
      </c>
      <c r="M68" s="62">
        <f>ROUND(K68*P66+K68,0)</f>
        <v>59420</v>
      </c>
    </row>
    <row r="69" spans="1:15" x14ac:dyDescent="0.25">
      <c r="A69" s="42" t="s">
        <v>905</v>
      </c>
      <c r="B69" s="49" t="s">
        <v>245</v>
      </c>
      <c r="C69" s="42" t="s">
        <v>856</v>
      </c>
      <c r="D69" s="105">
        <v>855135948</v>
      </c>
      <c r="E69" s="105">
        <v>9196408497</v>
      </c>
      <c r="F69" s="42" t="s">
        <v>256</v>
      </c>
      <c r="G69" s="84">
        <f>39269+(364+182)</f>
        <v>39815</v>
      </c>
      <c r="H69" s="53" t="str">
        <f>CHOOSE(MONTH(G69),"Jan","Feb","Mar","Apr","May","Jun","Jul","Aug","Sep","Oct","Nov","Dec")</f>
        <v>Jan</v>
      </c>
      <c r="I69" s="54">
        <f ca="1">DATEDIF(G69,TODAY(),"Y")</f>
        <v>7</v>
      </c>
      <c r="J69" s="55" t="s">
        <v>283</v>
      </c>
      <c r="K69" s="56">
        <v>72060</v>
      </c>
      <c r="L69" s="57">
        <v>2</v>
      </c>
      <c r="M69" s="62">
        <f>ROUND(K69*P67+K69,0)</f>
        <v>72060</v>
      </c>
    </row>
    <row r="70" spans="1:15" x14ac:dyDescent="0.25">
      <c r="A70" s="42" t="s">
        <v>500</v>
      </c>
      <c r="B70" s="49" t="s">
        <v>245</v>
      </c>
      <c r="C70" s="42" t="s">
        <v>465</v>
      </c>
      <c r="D70" s="105">
        <v>436778229</v>
      </c>
      <c r="E70" s="105">
        <v>2525871924</v>
      </c>
      <c r="F70" s="42" t="s">
        <v>247</v>
      </c>
      <c r="G70" s="84">
        <f>39276+(364+182)</f>
        <v>39822</v>
      </c>
      <c r="H70" s="53" t="str">
        <f>CHOOSE(MONTH(G70),"Jan","Feb","Mar","Apr","May","Jun","Jul","Aug","Sep","Oct","Nov","Dec")</f>
        <v>Jan</v>
      </c>
      <c r="I70" s="54">
        <f ca="1">DATEDIF(G70,TODAY(),"Y")</f>
        <v>7</v>
      </c>
      <c r="J70" s="55"/>
      <c r="K70" s="56">
        <v>60040</v>
      </c>
      <c r="L70" s="57">
        <v>5</v>
      </c>
      <c r="M70" s="62">
        <f>ROUND(K70*P68+K70,0)</f>
        <v>60040</v>
      </c>
    </row>
    <row r="71" spans="1:15" x14ac:dyDescent="0.25">
      <c r="A71" s="42" t="s">
        <v>589</v>
      </c>
      <c r="B71" s="49" t="s">
        <v>245</v>
      </c>
      <c r="C71" s="42" t="s">
        <v>465</v>
      </c>
      <c r="D71" s="105">
        <v>159117255</v>
      </c>
      <c r="E71" s="105">
        <v>9198426889</v>
      </c>
      <c r="F71" s="42" t="s">
        <v>247</v>
      </c>
      <c r="G71" s="84">
        <f>39284+(364+182)</f>
        <v>39830</v>
      </c>
      <c r="H71" s="53" t="str">
        <f>CHOOSE(MONTH(G71),"Jan","Feb","Mar","Apr","May","Jun","Jul","Aug","Sep","Oct","Nov","Dec")</f>
        <v>Jan</v>
      </c>
      <c r="I71" s="54">
        <f ca="1">DATEDIF(G71,TODAY(),"Y")</f>
        <v>7</v>
      </c>
      <c r="J71" s="55"/>
      <c r="K71" s="56">
        <v>78520</v>
      </c>
      <c r="L71" s="57">
        <v>4</v>
      </c>
      <c r="M71" s="62">
        <f>ROUND(K71*P69+K71,0)</f>
        <v>78520</v>
      </c>
    </row>
    <row r="72" spans="1:15" x14ac:dyDescent="0.25">
      <c r="A72" s="42" t="s">
        <v>547</v>
      </c>
      <c r="B72" s="49" t="s">
        <v>285</v>
      </c>
      <c r="C72" s="42" t="s">
        <v>465</v>
      </c>
      <c r="D72" s="105">
        <v>798466688</v>
      </c>
      <c r="E72" s="105">
        <v>9192232339</v>
      </c>
      <c r="F72" s="42" t="s">
        <v>256</v>
      </c>
      <c r="G72" s="84">
        <f>39657+(364+182)</f>
        <v>40203</v>
      </c>
      <c r="H72" s="53" t="str">
        <f>CHOOSE(MONTH(G72),"Jan","Feb","Mar","Apr","May","Jun","Jul","Aug","Sep","Oct","Nov","Dec")</f>
        <v>Jan</v>
      </c>
      <c r="I72" s="54">
        <f ca="1">DATEDIF(G72,TODAY(),"Y")</f>
        <v>6</v>
      </c>
      <c r="J72" s="55" t="s">
        <v>257</v>
      </c>
      <c r="K72" s="56">
        <v>35600</v>
      </c>
      <c r="L72" s="57">
        <v>5</v>
      </c>
      <c r="M72" s="62">
        <f>ROUND(K72*P70+K72,0)</f>
        <v>35600</v>
      </c>
    </row>
    <row r="73" spans="1:15" x14ac:dyDescent="0.25">
      <c r="A73" s="42" t="s">
        <v>644</v>
      </c>
      <c r="B73" s="49" t="s">
        <v>271</v>
      </c>
      <c r="C73" s="42" t="s">
        <v>626</v>
      </c>
      <c r="D73" s="105">
        <v>649234799</v>
      </c>
      <c r="E73" s="105">
        <v>2521588597</v>
      </c>
      <c r="F73" s="42" t="s">
        <v>256</v>
      </c>
      <c r="G73" s="84">
        <f>39663+(364+182)</f>
        <v>40209</v>
      </c>
      <c r="H73" s="53" t="str">
        <f>CHOOSE(MONTH(G73),"Jan","Feb","Mar","Apr","May","Jun","Jul","Aug","Sep","Oct","Nov","Dec")</f>
        <v>Jan</v>
      </c>
      <c r="I73" s="54">
        <f ca="1">DATEDIF(G73,TODAY(),"Y")</f>
        <v>6</v>
      </c>
      <c r="J73" s="55" t="s">
        <v>283</v>
      </c>
      <c r="K73" s="56">
        <v>45260</v>
      </c>
      <c r="L73" s="57">
        <v>4</v>
      </c>
      <c r="M73" s="62">
        <f>ROUND(K73*P71+K73,0)</f>
        <v>45260</v>
      </c>
    </row>
    <row r="74" spans="1:15" x14ac:dyDescent="0.25">
      <c r="A74" s="42" t="s">
        <v>973</v>
      </c>
      <c r="B74" s="49" t="s">
        <v>285</v>
      </c>
      <c r="C74" s="42" t="s">
        <v>930</v>
      </c>
      <c r="D74" s="105">
        <v>151532569</v>
      </c>
      <c r="E74" s="105">
        <v>2525202015</v>
      </c>
      <c r="F74" s="42" t="s">
        <v>247</v>
      </c>
      <c r="G74" s="106">
        <f>40017+(364+182)</f>
        <v>40563</v>
      </c>
      <c r="H74" s="53" t="str">
        <f>CHOOSE(MONTH(G74),"Jan","Feb","Mar","Apr","May","Jun","Jul","Aug","Sep","Oct","Nov","Dec")</f>
        <v>Jan</v>
      </c>
      <c r="I74" s="54">
        <f ca="1">DATEDIF(G74,TODAY(),"Y")</f>
        <v>5</v>
      </c>
      <c r="J74" s="55"/>
      <c r="K74" s="56">
        <v>55510</v>
      </c>
      <c r="L74" s="57">
        <v>3</v>
      </c>
      <c r="M74" s="62">
        <f>ROUND(K74*P72+K74,0)</f>
        <v>55510</v>
      </c>
    </row>
    <row r="75" spans="1:15" x14ac:dyDescent="0.25">
      <c r="A75" s="42" t="s">
        <v>1014</v>
      </c>
      <c r="B75" s="49" t="s">
        <v>285</v>
      </c>
      <c r="C75" s="42" t="s">
        <v>930</v>
      </c>
      <c r="D75" s="105">
        <v>121173068</v>
      </c>
      <c r="E75" s="105">
        <v>9196778600</v>
      </c>
      <c r="F75" s="42" t="s">
        <v>256</v>
      </c>
      <c r="G75" s="84">
        <f>40022+(364+182)</f>
        <v>40568</v>
      </c>
      <c r="H75" s="53" t="str">
        <f>CHOOSE(MONTH(G75),"Jan","Feb","Mar","Apr","May","Jun","Jul","Aug","Sep","Oct","Nov","Dec")</f>
        <v>Jan</v>
      </c>
      <c r="I75" s="54">
        <f ca="1">DATEDIF(G75,TODAY(),"Y")</f>
        <v>5</v>
      </c>
      <c r="J75" s="55" t="s">
        <v>257</v>
      </c>
      <c r="K75" s="56">
        <v>46390</v>
      </c>
      <c r="L75" s="57">
        <v>5</v>
      </c>
      <c r="M75" s="62">
        <f>ROUND(K75*P73+K75,0)</f>
        <v>46390</v>
      </c>
    </row>
    <row r="76" spans="1:15" x14ac:dyDescent="0.25">
      <c r="A76" s="42" t="s">
        <v>380</v>
      </c>
      <c r="B76" s="49" t="s">
        <v>285</v>
      </c>
      <c r="C76" s="42" t="s">
        <v>381</v>
      </c>
      <c r="D76" s="105">
        <v>124203063</v>
      </c>
      <c r="E76" s="105">
        <v>9192229885</v>
      </c>
      <c r="F76" s="42" t="s">
        <v>261</v>
      </c>
      <c r="G76" s="84">
        <f>40026+(364+182)</f>
        <v>40572</v>
      </c>
      <c r="H76" s="53" t="str">
        <f>CHOOSE(MONTH(G76),"Jan","Feb","Mar","Apr","May","Jun","Jul","Aug","Sep","Oct","Nov","Dec")</f>
        <v>Jan</v>
      </c>
      <c r="I76" s="54">
        <f ca="1">DATEDIF(G76,TODAY(),"Y")</f>
        <v>5</v>
      </c>
      <c r="J76" s="55" t="s">
        <v>283</v>
      </c>
      <c r="K76" s="56">
        <v>10520</v>
      </c>
      <c r="L76" s="57">
        <v>4</v>
      </c>
      <c r="M76" s="62">
        <f>ROUND(K76*P74+K76,0)</f>
        <v>10520</v>
      </c>
      <c r="O76" s="104"/>
    </row>
    <row r="77" spans="1:15" x14ac:dyDescent="0.25">
      <c r="A77" s="42" t="s">
        <v>485</v>
      </c>
      <c r="B77" s="49" t="s">
        <v>271</v>
      </c>
      <c r="C77" s="42" t="s">
        <v>465</v>
      </c>
      <c r="D77" s="105">
        <v>665773893</v>
      </c>
      <c r="E77" s="105">
        <v>9198857217</v>
      </c>
      <c r="F77" s="42" t="s">
        <v>252</v>
      </c>
      <c r="G77" s="84">
        <f>40028+(364+182)</f>
        <v>40574</v>
      </c>
      <c r="H77" s="53" t="str">
        <f>CHOOSE(MONTH(G77),"Jan","Feb","Mar","Apr","May","Jun","Jul","Aug","Sep","Oct","Nov","Dec")</f>
        <v>Jan</v>
      </c>
      <c r="I77" s="54">
        <f ca="1">DATEDIF(G77,TODAY(),"Y")</f>
        <v>5</v>
      </c>
      <c r="J77" s="55"/>
      <c r="K77" s="56">
        <v>28424</v>
      </c>
      <c r="L77" s="57">
        <v>4</v>
      </c>
      <c r="M77" s="62">
        <f>ROUND(K77*P75+K77,0)</f>
        <v>28424</v>
      </c>
    </row>
    <row r="78" spans="1:15" x14ac:dyDescent="0.25">
      <c r="A78" s="42" t="s">
        <v>978</v>
      </c>
      <c r="B78" s="49" t="s">
        <v>271</v>
      </c>
      <c r="C78" s="42" t="s">
        <v>930</v>
      </c>
      <c r="D78" s="105">
        <v>657835603</v>
      </c>
      <c r="E78" s="105">
        <v>2526609693</v>
      </c>
      <c r="F78" s="42" t="s">
        <v>256</v>
      </c>
      <c r="G78" s="84">
        <f>32733+(364+182)</f>
        <v>33279</v>
      </c>
      <c r="H78" s="53" t="str">
        <f>CHOOSE(MONTH(G78),"Jan","Feb","Mar","Apr","May","Jun","Jul","Aug","Sep","Oct","Nov","Dec")</f>
        <v>Feb</v>
      </c>
      <c r="I78" s="54">
        <f ca="1">DATEDIF(G78,TODAY(),"Y")</f>
        <v>25</v>
      </c>
      <c r="J78" s="55" t="s">
        <v>257</v>
      </c>
      <c r="K78" s="56">
        <v>24200</v>
      </c>
      <c r="L78" s="57">
        <v>5</v>
      </c>
      <c r="M78" s="62">
        <f>ROUND(K78*P76+K78,0)</f>
        <v>24200</v>
      </c>
    </row>
    <row r="79" spans="1:15" x14ac:dyDescent="0.25">
      <c r="A79" s="42" t="s">
        <v>757</v>
      </c>
      <c r="B79" s="49" t="s">
        <v>285</v>
      </c>
      <c r="C79" s="42" t="s">
        <v>750</v>
      </c>
      <c r="D79" s="105">
        <v>292693795</v>
      </c>
      <c r="E79" s="105">
        <v>9195990139</v>
      </c>
      <c r="F79" s="42" t="s">
        <v>256</v>
      </c>
      <c r="G79" s="84">
        <f>32734+(364+182)</f>
        <v>33280</v>
      </c>
      <c r="H79" s="53" t="str">
        <f>CHOOSE(MONTH(G79),"Jan","Feb","Mar","Apr","May","Jun","Jul","Aug","Sep","Oct","Nov","Dec")</f>
        <v>Feb</v>
      </c>
      <c r="I79" s="54">
        <f ca="1">DATEDIF(G79,TODAY(),"Y")</f>
        <v>25</v>
      </c>
      <c r="J79" s="55" t="s">
        <v>257</v>
      </c>
      <c r="K79" s="56">
        <v>87950</v>
      </c>
      <c r="L79" s="57">
        <v>4</v>
      </c>
      <c r="M79" s="62">
        <f>ROUND(K79*P77+K79,0)</f>
        <v>87950</v>
      </c>
    </row>
    <row r="80" spans="1:15" x14ac:dyDescent="0.25">
      <c r="A80" s="42" t="s">
        <v>860</v>
      </c>
      <c r="B80" s="49" t="s">
        <v>251</v>
      </c>
      <c r="C80" s="42" t="s">
        <v>856</v>
      </c>
      <c r="D80" s="105">
        <v>265993407</v>
      </c>
      <c r="E80" s="105">
        <v>9193558443</v>
      </c>
      <c r="F80" s="42" t="s">
        <v>247</v>
      </c>
      <c r="G80" s="84">
        <f>32736+(364+182)</f>
        <v>33282</v>
      </c>
      <c r="H80" s="53" t="str">
        <f>CHOOSE(MONTH(G80),"Jan","Feb","Mar","Apr","May","Jun","Jul","Aug","Sep","Oct","Nov","Dec")</f>
        <v>Feb</v>
      </c>
      <c r="I80" s="54">
        <f ca="1">DATEDIF(G80,TODAY(),"Y")</f>
        <v>25</v>
      </c>
      <c r="J80" s="55"/>
      <c r="K80" s="56">
        <v>89450</v>
      </c>
      <c r="L80" s="57">
        <v>2</v>
      </c>
      <c r="M80" s="62">
        <f>ROUND(K80*P78+K80,0)</f>
        <v>89450</v>
      </c>
    </row>
    <row r="81" spans="1:15" x14ac:dyDescent="0.25">
      <c r="A81" s="42" t="s">
        <v>765</v>
      </c>
      <c r="B81" s="49" t="s">
        <v>251</v>
      </c>
      <c r="C81" s="42" t="s">
        <v>750</v>
      </c>
      <c r="D81" s="105">
        <v>264960848</v>
      </c>
      <c r="E81" s="105">
        <v>9195012757</v>
      </c>
      <c r="F81" s="42" t="s">
        <v>247</v>
      </c>
      <c r="G81" s="84">
        <f>32740+(364+182)</f>
        <v>33286</v>
      </c>
      <c r="H81" s="53" t="str">
        <f>CHOOSE(MONTH(G81),"Jan","Feb","Mar","Apr","May","Jun","Jul","Aug","Sep","Oct","Nov","Dec")</f>
        <v>Feb</v>
      </c>
      <c r="I81" s="54">
        <f ca="1">DATEDIF(G81,TODAY(),"Y")</f>
        <v>25</v>
      </c>
      <c r="J81" s="55"/>
      <c r="K81" s="56">
        <v>49070</v>
      </c>
      <c r="L81" s="57">
        <v>3</v>
      </c>
      <c r="M81" s="62">
        <f>ROUND(K81*P79+K81,0)</f>
        <v>49070</v>
      </c>
    </row>
    <row r="82" spans="1:15" x14ac:dyDescent="0.25">
      <c r="A82" s="48" t="s">
        <v>260</v>
      </c>
      <c r="B82" s="49" t="s">
        <v>245</v>
      </c>
      <c r="C82" s="48" t="s">
        <v>246</v>
      </c>
      <c r="D82" s="109">
        <v>914428485</v>
      </c>
      <c r="E82" s="109">
        <v>2521774590</v>
      </c>
      <c r="F82" s="48" t="s">
        <v>261</v>
      </c>
      <c r="G82" s="108">
        <f>32744+(364+182)</f>
        <v>33290</v>
      </c>
      <c r="H82" s="53" t="str">
        <f>CHOOSE(MONTH(G82),"Jan","Feb","Mar","Apr","May","Jun","Jul","Aug","Sep","Oct","Nov","Dec")</f>
        <v>Feb</v>
      </c>
      <c r="I82" s="54">
        <f ca="1">DATEDIF(G82,TODAY(),"Y")</f>
        <v>25</v>
      </c>
      <c r="J82" s="55" t="s">
        <v>262</v>
      </c>
      <c r="K82" s="56">
        <v>26795</v>
      </c>
      <c r="L82" s="57">
        <v>4</v>
      </c>
      <c r="M82" s="62">
        <f>ROUND(K82*P80+K82,0)</f>
        <v>26795</v>
      </c>
      <c r="N82" s="110"/>
      <c r="O82" s="107"/>
    </row>
    <row r="83" spans="1:15" x14ac:dyDescent="0.25">
      <c r="A83" s="42" t="s">
        <v>737</v>
      </c>
      <c r="B83" s="49" t="s">
        <v>245</v>
      </c>
      <c r="C83" s="42" t="s">
        <v>705</v>
      </c>
      <c r="D83" s="105">
        <v>294130565</v>
      </c>
      <c r="E83" s="105">
        <v>9193744359</v>
      </c>
      <c r="F83" s="42" t="s">
        <v>256</v>
      </c>
      <c r="G83" s="84">
        <f>33090+(364+182)</f>
        <v>33636</v>
      </c>
      <c r="H83" s="53" t="str">
        <f>CHOOSE(MONTH(G83),"Jan","Feb","Mar","Apr","May","Jun","Jul","Aug","Sep","Oct","Nov","Dec")</f>
        <v>Feb</v>
      </c>
      <c r="I83" s="54">
        <f ca="1">DATEDIF(G83,TODAY(),"Y")</f>
        <v>24</v>
      </c>
      <c r="J83" s="55" t="s">
        <v>257</v>
      </c>
      <c r="K83" s="56">
        <v>26360</v>
      </c>
      <c r="L83" s="57">
        <v>1</v>
      </c>
      <c r="M83" s="62">
        <f>ROUND(K83*P81+K83,0)</f>
        <v>26360</v>
      </c>
    </row>
    <row r="84" spans="1:15" x14ac:dyDescent="0.25">
      <c r="A84" s="42" t="s">
        <v>799</v>
      </c>
      <c r="B84" s="49" t="s">
        <v>245</v>
      </c>
      <c r="C84" s="42" t="s">
        <v>767</v>
      </c>
      <c r="D84" s="105">
        <v>433314045</v>
      </c>
      <c r="E84" s="105">
        <v>2522543210</v>
      </c>
      <c r="F84" s="42" t="s">
        <v>247</v>
      </c>
      <c r="G84" s="84">
        <f>33092+(364+182)</f>
        <v>33638</v>
      </c>
      <c r="H84" s="53" t="str">
        <f>CHOOSE(MONTH(G84),"Jan","Feb","Mar","Apr","May","Jun","Jul","Aug","Sep","Oct","Nov","Dec")</f>
        <v>Feb</v>
      </c>
      <c r="I84" s="54">
        <f ca="1">DATEDIF(G84,TODAY(),"Y")</f>
        <v>24</v>
      </c>
      <c r="J84" s="55"/>
      <c r="K84" s="56">
        <v>47590</v>
      </c>
      <c r="L84" s="57">
        <v>3</v>
      </c>
      <c r="M84" s="62">
        <f>ROUND(K84*P82+K84,0)</f>
        <v>47590</v>
      </c>
    </row>
    <row r="85" spans="1:15" x14ac:dyDescent="0.25">
      <c r="A85" s="42" t="s">
        <v>743</v>
      </c>
      <c r="B85" s="49" t="s">
        <v>285</v>
      </c>
      <c r="C85" s="42" t="s">
        <v>705</v>
      </c>
      <c r="D85" s="105">
        <v>474117484</v>
      </c>
      <c r="E85" s="105">
        <v>9196132408</v>
      </c>
      <c r="F85" s="42" t="s">
        <v>256</v>
      </c>
      <c r="G85" s="84">
        <f>33096+(364+182)</f>
        <v>33642</v>
      </c>
      <c r="H85" s="53" t="str">
        <f>CHOOSE(MONTH(G85),"Jan","Feb","Mar","Apr","May","Jun","Jul","Aug","Sep","Oct","Nov","Dec")</f>
        <v>Feb</v>
      </c>
      <c r="I85" s="54">
        <f ca="1">DATEDIF(G85,TODAY(),"Y")</f>
        <v>24</v>
      </c>
      <c r="J85" s="55" t="s">
        <v>257</v>
      </c>
      <c r="K85" s="56">
        <v>79770</v>
      </c>
      <c r="L85" s="57">
        <v>4</v>
      </c>
      <c r="M85" s="62">
        <f>ROUND(K85*P83+K85,0)</f>
        <v>79770</v>
      </c>
    </row>
    <row r="86" spans="1:15" x14ac:dyDescent="0.25">
      <c r="A86" s="42" t="s">
        <v>529</v>
      </c>
      <c r="B86" s="49" t="s">
        <v>271</v>
      </c>
      <c r="C86" s="42" t="s">
        <v>465</v>
      </c>
      <c r="D86" s="105">
        <v>259573806</v>
      </c>
      <c r="E86" s="105">
        <v>9193302808</v>
      </c>
      <c r="F86" s="42" t="s">
        <v>256</v>
      </c>
      <c r="G86" s="84">
        <f>33102+(364+182)</f>
        <v>33648</v>
      </c>
      <c r="H86" s="53" t="str">
        <f>CHOOSE(MONTH(G86),"Jan","Feb","Mar","Apr","May","Jun","Jul","Aug","Sep","Oct","Nov","Dec")</f>
        <v>Feb</v>
      </c>
      <c r="I86" s="54">
        <f ca="1">DATEDIF(G86,TODAY(),"Y")</f>
        <v>24</v>
      </c>
      <c r="J86" s="55" t="s">
        <v>276</v>
      </c>
      <c r="K86" s="56">
        <v>60380</v>
      </c>
      <c r="L86" s="57">
        <v>4</v>
      </c>
      <c r="M86" s="62">
        <f>ROUND(K86*P84+K86,0)</f>
        <v>60380</v>
      </c>
    </row>
    <row r="87" spans="1:15" x14ac:dyDescent="0.25">
      <c r="A87" s="42" t="s">
        <v>793</v>
      </c>
      <c r="B87" s="49" t="s">
        <v>245</v>
      </c>
      <c r="C87" s="42" t="s">
        <v>767</v>
      </c>
      <c r="D87" s="105">
        <v>808012612</v>
      </c>
      <c r="E87" s="105">
        <v>9193717553</v>
      </c>
      <c r="F87" s="42" t="s">
        <v>247</v>
      </c>
      <c r="G87" s="84">
        <f>33112+(364+182)</f>
        <v>33658</v>
      </c>
      <c r="H87" s="53" t="str">
        <f>CHOOSE(MONTH(G87),"Jan","Feb","Mar","Apr","May","Jun","Jul","Aug","Sep","Oct","Nov","Dec")</f>
        <v>Feb</v>
      </c>
      <c r="I87" s="54">
        <f ca="1">DATEDIF(G87,TODAY(),"Y")</f>
        <v>24</v>
      </c>
      <c r="J87" s="55"/>
      <c r="K87" s="56">
        <v>60550</v>
      </c>
      <c r="L87" s="57">
        <v>2</v>
      </c>
      <c r="M87" s="62">
        <f>ROUND(K87*P85+K87,0)</f>
        <v>60550</v>
      </c>
    </row>
    <row r="88" spans="1:15" x14ac:dyDescent="0.25">
      <c r="A88" s="42" t="s">
        <v>1034</v>
      </c>
      <c r="B88" s="49" t="s">
        <v>285</v>
      </c>
      <c r="C88" s="42" t="s">
        <v>1031</v>
      </c>
      <c r="D88" s="105">
        <v>183135788</v>
      </c>
      <c r="E88" s="105">
        <v>2521198851</v>
      </c>
      <c r="F88" s="42" t="s">
        <v>247</v>
      </c>
      <c r="G88" s="84">
        <f>33457+(364+182)</f>
        <v>34003</v>
      </c>
      <c r="H88" s="53" t="str">
        <f>CHOOSE(MONTH(G88),"Jan","Feb","Mar","Apr","May","Jun","Jul","Aug","Sep","Oct","Nov","Dec")</f>
        <v>Feb</v>
      </c>
      <c r="I88" s="54">
        <f ca="1">DATEDIF(G88,TODAY(),"Y")</f>
        <v>23</v>
      </c>
      <c r="J88" s="55"/>
      <c r="K88" s="56">
        <v>60760</v>
      </c>
      <c r="L88" s="57">
        <v>2</v>
      </c>
      <c r="M88" s="62">
        <f>ROUND(K88*P86+K88,0)</f>
        <v>60760</v>
      </c>
      <c r="O88" s="104"/>
    </row>
    <row r="89" spans="1:15" x14ac:dyDescent="0.25">
      <c r="A89" s="42" t="s">
        <v>1012</v>
      </c>
      <c r="B89" s="49" t="s">
        <v>285</v>
      </c>
      <c r="C89" s="42" t="s">
        <v>930</v>
      </c>
      <c r="D89" s="105">
        <v>287476507</v>
      </c>
      <c r="E89" s="105">
        <v>9191509619</v>
      </c>
      <c r="F89" s="42" t="s">
        <v>261</v>
      </c>
      <c r="G89" s="84">
        <f>33459+(364+182)</f>
        <v>34005</v>
      </c>
      <c r="H89" s="53" t="str">
        <f>CHOOSE(MONTH(G89),"Jan","Feb","Mar","Apr","May","Jun","Jul","Aug","Sep","Oct","Nov","Dec")</f>
        <v>Feb</v>
      </c>
      <c r="I89" s="54">
        <f ca="1">DATEDIF(G89,TODAY(),"Y")</f>
        <v>23</v>
      </c>
      <c r="J89" s="55" t="s">
        <v>257</v>
      </c>
      <c r="K89" s="56">
        <v>19935</v>
      </c>
      <c r="L89" s="57">
        <v>1</v>
      </c>
      <c r="M89" s="62">
        <f>ROUND(K89*P87+K89,0)</f>
        <v>19935</v>
      </c>
    </row>
    <row r="90" spans="1:15" x14ac:dyDescent="0.25">
      <c r="A90" s="42" t="s">
        <v>919</v>
      </c>
      <c r="B90" s="49" t="s">
        <v>245</v>
      </c>
      <c r="C90" s="42" t="s">
        <v>856</v>
      </c>
      <c r="D90" s="105">
        <v>186821354</v>
      </c>
      <c r="E90" s="105">
        <v>2528527032</v>
      </c>
      <c r="F90" s="42" t="s">
        <v>256</v>
      </c>
      <c r="G90" s="84">
        <f>33464+(364+182)</f>
        <v>34010</v>
      </c>
      <c r="H90" s="53" t="str">
        <f>CHOOSE(MONTH(G90),"Jan","Feb","Mar","Apr","May","Jun","Jul","Aug","Sep","Oct","Nov","Dec")</f>
        <v>Feb</v>
      </c>
      <c r="I90" s="54">
        <f ca="1">DATEDIF(G90,TODAY(),"Y")</f>
        <v>23</v>
      </c>
      <c r="J90" s="55" t="s">
        <v>257</v>
      </c>
      <c r="K90" s="56">
        <v>54270</v>
      </c>
      <c r="L90" s="57">
        <v>3</v>
      </c>
      <c r="M90" s="62">
        <f>ROUND(K90*P88+K90,0)</f>
        <v>54270</v>
      </c>
    </row>
    <row r="91" spans="1:15" x14ac:dyDescent="0.25">
      <c r="A91" s="42" t="s">
        <v>869</v>
      </c>
      <c r="B91" s="49" t="s">
        <v>251</v>
      </c>
      <c r="C91" s="42" t="s">
        <v>856</v>
      </c>
      <c r="D91" s="105">
        <v>462461365</v>
      </c>
      <c r="E91" s="105">
        <v>2527126482</v>
      </c>
      <c r="F91" s="42" t="s">
        <v>256</v>
      </c>
      <c r="G91" s="84">
        <f>33475+(364+182)</f>
        <v>34021</v>
      </c>
      <c r="H91" s="53" t="str">
        <f>CHOOSE(MONTH(G91),"Jan","Feb","Mar","Apr","May","Jun","Jul","Aug","Sep","Oct","Nov","Dec")</f>
        <v>Feb</v>
      </c>
      <c r="I91" s="54">
        <f ca="1">DATEDIF(G91,TODAY(),"Y")</f>
        <v>23</v>
      </c>
      <c r="J91" s="55" t="s">
        <v>283</v>
      </c>
      <c r="K91" s="56">
        <v>45110</v>
      </c>
      <c r="L91" s="57">
        <v>2</v>
      </c>
      <c r="M91" s="62">
        <f>ROUND(K91*P89+K91,0)</f>
        <v>45110</v>
      </c>
    </row>
    <row r="92" spans="1:15" x14ac:dyDescent="0.25">
      <c r="A92" s="42" t="s">
        <v>898</v>
      </c>
      <c r="B92" s="49" t="s">
        <v>271</v>
      </c>
      <c r="C92" s="42" t="s">
        <v>856</v>
      </c>
      <c r="D92" s="105">
        <v>404589373</v>
      </c>
      <c r="E92" s="105">
        <v>9198407416</v>
      </c>
      <c r="F92" s="42" t="s">
        <v>256</v>
      </c>
      <c r="G92" s="84">
        <f>33482+(364+182)</f>
        <v>34028</v>
      </c>
      <c r="H92" s="53" t="str">
        <f>CHOOSE(MONTH(G92),"Jan","Feb","Mar","Apr","May","Jun","Jul","Aug","Sep","Oct","Nov","Dec")</f>
        <v>Feb</v>
      </c>
      <c r="I92" s="54">
        <f ca="1">DATEDIF(G92,TODAY(),"Y")</f>
        <v>23</v>
      </c>
      <c r="J92" s="55" t="s">
        <v>283</v>
      </c>
      <c r="K92" s="56">
        <v>66824</v>
      </c>
      <c r="L92" s="57">
        <v>2</v>
      </c>
      <c r="M92" s="62">
        <f>ROUND(K92*P90+K92,0)</f>
        <v>66824</v>
      </c>
    </row>
    <row r="93" spans="1:15" x14ac:dyDescent="0.25">
      <c r="A93" s="42" t="s">
        <v>722</v>
      </c>
      <c r="B93" s="49" t="s">
        <v>285</v>
      </c>
      <c r="C93" s="42" t="s">
        <v>705</v>
      </c>
      <c r="D93" s="105">
        <v>555718765</v>
      </c>
      <c r="E93" s="105">
        <v>2524618773</v>
      </c>
      <c r="F93" s="42" t="s">
        <v>256</v>
      </c>
      <c r="G93" s="84">
        <f>34191+(364+182)</f>
        <v>34737</v>
      </c>
      <c r="H93" s="53" t="str">
        <f>CHOOSE(MONTH(G93),"Jan","Feb","Mar","Apr","May","Jun","Jul","Aug","Sep","Oct","Nov","Dec")</f>
        <v>Feb</v>
      </c>
      <c r="I93" s="54">
        <f ca="1">DATEDIF(G93,TODAY(),"Y")</f>
        <v>21</v>
      </c>
      <c r="J93" s="55" t="s">
        <v>257</v>
      </c>
      <c r="K93" s="56">
        <v>88850</v>
      </c>
      <c r="L93" s="57">
        <v>3</v>
      </c>
      <c r="M93" s="62">
        <f>ROUND(K93*P91+K93,0)</f>
        <v>88850</v>
      </c>
    </row>
    <row r="94" spans="1:15" x14ac:dyDescent="0.25">
      <c r="A94" s="42" t="s">
        <v>728</v>
      </c>
      <c r="B94" s="49" t="s">
        <v>266</v>
      </c>
      <c r="C94" s="42" t="s">
        <v>705</v>
      </c>
      <c r="D94" s="105">
        <v>297806507</v>
      </c>
      <c r="E94" s="105">
        <v>9197312659</v>
      </c>
      <c r="F94" s="42" t="s">
        <v>256</v>
      </c>
      <c r="G94" s="84">
        <f>34194+(364+182)</f>
        <v>34740</v>
      </c>
      <c r="H94" s="53" t="str">
        <f>CHOOSE(MONTH(G94),"Jan","Feb","Mar","Apr","May","Jun","Jul","Aug","Sep","Oct","Nov","Dec")</f>
        <v>Feb</v>
      </c>
      <c r="I94" s="54">
        <f ca="1">DATEDIF(G94,TODAY(),"Y")</f>
        <v>21</v>
      </c>
      <c r="J94" s="55" t="s">
        <v>267</v>
      </c>
      <c r="K94" s="56">
        <v>77840</v>
      </c>
      <c r="L94" s="57">
        <v>2</v>
      </c>
      <c r="M94" s="62">
        <f>ROUND(K94*P92+K94,0)</f>
        <v>77840</v>
      </c>
    </row>
    <row r="95" spans="1:15" x14ac:dyDescent="0.25">
      <c r="A95" s="42" t="s">
        <v>857</v>
      </c>
      <c r="B95" s="49" t="s">
        <v>271</v>
      </c>
      <c r="C95" s="42" t="s">
        <v>856</v>
      </c>
      <c r="D95" s="105">
        <v>709234421</v>
      </c>
      <c r="E95" s="105">
        <v>2523838954</v>
      </c>
      <c r="F95" s="42" t="s">
        <v>256</v>
      </c>
      <c r="G95" s="84">
        <f>34208+(364+182)</f>
        <v>34754</v>
      </c>
      <c r="H95" s="53" t="str">
        <f>CHOOSE(MONTH(G95),"Jan","Feb","Mar","Apr","May","Jun","Jul","Aug","Sep","Oct","Nov","Dec")</f>
        <v>Feb</v>
      </c>
      <c r="I95" s="54">
        <f ca="1">DATEDIF(G95,TODAY(),"Y")</f>
        <v>21</v>
      </c>
      <c r="J95" s="55" t="s">
        <v>257</v>
      </c>
      <c r="K95" s="56">
        <v>39000</v>
      </c>
      <c r="L95" s="57">
        <v>5</v>
      </c>
      <c r="M95" s="62">
        <f>ROUND(K95*P93+K95,0)</f>
        <v>39000</v>
      </c>
    </row>
    <row r="96" spans="1:15" x14ac:dyDescent="0.25">
      <c r="A96" s="42" t="s">
        <v>445</v>
      </c>
      <c r="B96" s="49" t="s">
        <v>285</v>
      </c>
      <c r="C96" s="42" t="s">
        <v>417</v>
      </c>
      <c r="D96" s="105">
        <v>116869057</v>
      </c>
      <c r="E96" s="105">
        <v>2521614846</v>
      </c>
      <c r="F96" s="42" t="s">
        <v>261</v>
      </c>
      <c r="G96" s="84">
        <f>34209+(364+182)</f>
        <v>34755</v>
      </c>
      <c r="H96" s="53" t="str">
        <f>CHOOSE(MONTH(G96),"Jan","Feb","Mar","Apr","May","Jun","Jul","Aug","Sep","Oct","Nov","Dec")</f>
        <v>Feb</v>
      </c>
      <c r="I96" s="54">
        <f ca="1">DATEDIF(G96,TODAY(),"Y")</f>
        <v>21</v>
      </c>
      <c r="J96" s="55" t="s">
        <v>267</v>
      </c>
      <c r="K96" s="56">
        <v>15005</v>
      </c>
      <c r="L96" s="57">
        <v>4</v>
      </c>
      <c r="M96" s="62">
        <f>ROUND(K96*P94+K96,0)</f>
        <v>15005</v>
      </c>
      <c r="N96" s="110"/>
    </row>
    <row r="97" spans="1:15" x14ac:dyDescent="0.25">
      <c r="A97" s="42" t="s">
        <v>326</v>
      </c>
      <c r="B97" s="49" t="s">
        <v>280</v>
      </c>
      <c r="C97" s="42" t="s">
        <v>312</v>
      </c>
      <c r="D97" s="105">
        <v>247276092</v>
      </c>
      <c r="E97" s="105">
        <v>2522636516</v>
      </c>
      <c r="F97" s="42" t="s">
        <v>247</v>
      </c>
      <c r="G97" s="84">
        <f>34573+(364+182)</f>
        <v>35119</v>
      </c>
      <c r="H97" s="53" t="str">
        <f>CHOOSE(MONTH(G97),"Jan","Feb","Mar","Apr","May","Jun","Jul","Aug","Sep","Oct","Nov","Dec")</f>
        <v>Feb</v>
      </c>
      <c r="I97" s="54">
        <f ca="1">DATEDIF(G97,TODAY(),"Y")</f>
        <v>20</v>
      </c>
      <c r="J97" s="55"/>
      <c r="K97" s="56">
        <v>64390</v>
      </c>
      <c r="L97" s="57">
        <v>2</v>
      </c>
      <c r="M97" s="62">
        <f>ROUND(K97*P95+K97,0)</f>
        <v>64390</v>
      </c>
    </row>
    <row r="98" spans="1:15" x14ac:dyDescent="0.25">
      <c r="A98" s="42" t="s">
        <v>677</v>
      </c>
      <c r="B98" s="49" t="s">
        <v>285</v>
      </c>
      <c r="C98" s="42" t="s">
        <v>678</v>
      </c>
      <c r="D98" s="105">
        <v>414905182</v>
      </c>
      <c r="E98" s="105">
        <v>9193820411</v>
      </c>
      <c r="F98" s="42" t="s">
        <v>256</v>
      </c>
      <c r="G98" s="84">
        <f>34575+(364+182)</f>
        <v>35121</v>
      </c>
      <c r="H98" s="53" t="str">
        <f>CHOOSE(MONTH(G98),"Jan","Feb","Mar","Apr","May","Jun","Jul","Aug","Sep","Oct","Nov","Dec")</f>
        <v>Feb</v>
      </c>
      <c r="I98" s="54">
        <f ca="1">DATEDIF(G98,TODAY(),"Y")</f>
        <v>20</v>
      </c>
      <c r="J98" s="55" t="s">
        <v>283</v>
      </c>
      <c r="K98" s="56">
        <v>22860</v>
      </c>
      <c r="L98" s="57">
        <v>5</v>
      </c>
      <c r="M98" s="62">
        <f>ROUND(K98*P96+K98,0)</f>
        <v>22860</v>
      </c>
    </row>
    <row r="99" spans="1:15" x14ac:dyDescent="0.25">
      <c r="A99" s="42" t="s">
        <v>284</v>
      </c>
      <c r="B99" s="49" t="s">
        <v>285</v>
      </c>
      <c r="C99" s="42" t="s">
        <v>272</v>
      </c>
      <c r="D99" s="105">
        <v>768681542</v>
      </c>
      <c r="E99" s="105">
        <v>8021673267</v>
      </c>
      <c r="F99" s="42" t="s">
        <v>256</v>
      </c>
      <c r="G99" s="84">
        <f>34918+(364+182)</f>
        <v>35464</v>
      </c>
      <c r="H99" s="53" t="str">
        <f>CHOOSE(MONTH(G99),"Jan","Feb","Mar","Apr","May","Jun","Jul","Aug","Sep","Oct","Nov","Dec")</f>
        <v>Feb</v>
      </c>
      <c r="I99" s="54">
        <f ca="1">DATEDIF(G99,TODAY(),"Y")</f>
        <v>19</v>
      </c>
      <c r="J99" s="55" t="s">
        <v>257</v>
      </c>
      <c r="K99" s="56">
        <v>60830</v>
      </c>
      <c r="L99" s="57">
        <v>2</v>
      </c>
      <c r="M99" s="62">
        <f>ROUND(K99*P97+K99,0)</f>
        <v>60830</v>
      </c>
      <c r="O99" s="107"/>
    </row>
    <row r="100" spans="1:15" x14ac:dyDescent="0.25">
      <c r="A100" s="42" t="s">
        <v>966</v>
      </c>
      <c r="B100" s="49" t="s">
        <v>285</v>
      </c>
      <c r="C100" s="42" t="s">
        <v>930</v>
      </c>
      <c r="D100" s="105">
        <v>894855096</v>
      </c>
      <c r="E100" s="105">
        <v>9193936198</v>
      </c>
      <c r="F100" s="42" t="s">
        <v>261</v>
      </c>
      <c r="G100" s="84">
        <f>34920+(364+182)</f>
        <v>35466</v>
      </c>
      <c r="H100" s="53" t="str">
        <f>CHOOSE(MONTH(G100),"Jan","Feb","Mar","Apr","May","Jun","Jul","Aug","Sep","Oct","Nov","Dec")</f>
        <v>Feb</v>
      </c>
      <c r="I100" s="54">
        <f ca="1">DATEDIF(G100,TODAY(),"Y")</f>
        <v>19</v>
      </c>
      <c r="J100" s="55" t="s">
        <v>262</v>
      </c>
      <c r="K100" s="56">
        <v>37660</v>
      </c>
      <c r="L100" s="57">
        <v>4</v>
      </c>
      <c r="M100" s="62">
        <f>ROUND(K100*P98+K100,0)</f>
        <v>37660</v>
      </c>
    </row>
    <row r="101" spans="1:15" x14ac:dyDescent="0.25">
      <c r="A101" s="42" t="s">
        <v>396</v>
      </c>
      <c r="B101" s="49" t="s">
        <v>266</v>
      </c>
      <c r="C101" s="42" t="s">
        <v>391</v>
      </c>
      <c r="D101" s="105">
        <v>291798311</v>
      </c>
      <c r="E101" s="105">
        <v>2526742736</v>
      </c>
      <c r="F101" s="42" t="s">
        <v>256</v>
      </c>
      <c r="G101" s="84">
        <f>34941+(364+182)</f>
        <v>35487</v>
      </c>
      <c r="H101" s="53" t="str">
        <f>CHOOSE(MONTH(G101),"Jan","Feb","Mar","Apr","May","Jun","Jul","Aug","Sep","Oct","Nov","Dec")</f>
        <v>Feb</v>
      </c>
      <c r="I101" s="54">
        <f ca="1">DATEDIF(G101,TODAY(),"Y")</f>
        <v>19</v>
      </c>
      <c r="J101" s="55" t="s">
        <v>257</v>
      </c>
      <c r="K101" s="56">
        <v>80120</v>
      </c>
      <c r="L101" s="57">
        <v>4</v>
      </c>
      <c r="M101" s="62">
        <f>ROUND(K101*P99+K101,0)</f>
        <v>80120</v>
      </c>
    </row>
    <row r="102" spans="1:15" x14ac:dyDescent="0.25">
      <c r="A102" s="42" t="s">
        <v>352</v>
      </c>
      <c r="B102" s="49" t="s">
        <v>285</v>
      </c>
      <c r="C102" s="42" t="s">
        <v>312</v>
      </c>
      <c r="D102" s="105">
        <v>571120098</v>
      </c>
      <c r="E102" s="105">
        <v>2525789252</v>
      </c>
      <c r="F102" s="42" t="s">
        <v>256</v>
      </c>
      <c r="G102" s="84">
        <f>35283+(364+182)</f>
        <v>35829</v>
      </c>
      <c r="H102" s="53" t="str">
        <f>CHOOSE(MONTH(G102),"Jan","Feb","Mar","Apr","May","Jun","Jul","Aug","Sep","Oct","Nov","Dec")</f>
        <v>Feb</v>
      </c>
      <c r="I102" s="54">
        <f ca="1">DATEDIF(G102,TODAY(),"Y")</f>
        <v>18</v>
      </c>
      <c r="J102" s="55" t="s">
        <v>257</v>
      </c>
      <c r="K102" s="56">
        <v>61030</v>
      </c>
      <c r="L102" s="57">
        <v>3</v>
      </c>
      <c r="M102" s="62">
        <f>ROUND(K102*P100+K102,0)</f>
        <v>61030</v>
      </c>
      <c r="N102" s="110"/>
      <c r="O102" s="104"/>
    </row>
    <row r="103" spans="1:15" x14ac:dyDescent="0.25">
      <c r="A103" s="42" t="s">
        <v>559</v>
      </c>
      <c r="B103" s="49" t="s">
        <v>245</v>
      </c>
      <c r="C103" s="42" t="s">
        <v>465</v>
      </c>
      <c r="D103" s="105">
        <v>661850671</v>
      </c>
      <c r="E103" s="105">
        <v>2528405900</v>
      </c>
      <c r="F103" s="42" t="s">
        <v>252</v>
      </c>
      <c r="G103" s="84">
        <f>35283+(364+182)</f>
        <v>35829</v>
      </c>
      <c r="H103" s="53" t="str">
        <f>CHOOSE(MONTH(G103),"Jan","Feb","Mar","Apr","May","Jun","Jul","Aug","Sep","Oct","Nov","Dec")</f>
        <v>Feb</v>
      </c>
      <c r="I103" s="54">
        <f ca="1">DATEDIF(G103,TODAY(),"Y")</f>
        <v>18</v>
      </c>
      <c r="J103" s="55"/>
      <c r="K103" s="56">
        <v>29176</v>
      </c>
      <c r="L103" s="57">
        <v>3</v>
      </c>
      <c r="M103" s="62">
        <f>ROUND(K103*P101+K103,0)</f>
        <v>29176</v>
      </c>
    </row>
    <row r="104" spans="1:15" x14ac:dyDescent="0.25">
      <c r="A104" s="42" t="s">
        <v>609</v>
      </c>
      <c r="B104" s="49" t="s">
        <v>266</v>
      </c>
      <c r="C104" s="42" t="s">
        <v>465</v>
      </c>
      <c r="D104" s="105">
        <v>881975933</v>
      </c>
      <c r="E104" s="105">
        <v>9192354572</v>
      </c>
      <c r="F104" s="42" t="s">
        <v>256</v>
      </c>
      <c r="G104" s="84">
        <f>35284+(364+182)</f>
        <v>35830</v>
      </c>
      <c r="H104" s="53" t="str">
        <f>CHOOSE(MONTH(G104),"Jan","Feb","Mar","Apr","May","Jun","Jul","Aug","Sep","Oct","Nov","Dec")</f>
        <v>Feb</v>
      </c>
      <c r="I104" s="54">
        <f ca="1">DATEDIF(G104,TODAY(),"Y")</f>
        <v>18</v>
      </c>
      <c r="J104" s="55" t="s">
        <v>267</v>
      </c>
      <c r="K104" s="56">
        <v>35460</v>
      </c>
      <c r="L104" s="57">
        <v>5</v>
      </c>
      <c r="M104" s="62">
        <f>ROUND(K104*P102+K104,0)</f>
        <v>35460</v>
      </c>
    </row>
    <row r="105" spans="1:15" x14ac:dyDescent="0.25">
      <c r="A105" s="42" t="s">
        <v>344</v>
      </c>
      <c r="B105" s="49" t="s">
        <v>271</v>
      </c>
      <c r="C105" s="42" t="s">
        <v>312</v>
      </c>
      <c r="D105" s="105">
        <v>639314672</v>
      </c>
      <c r="E105" s="105">
        <v>9191919478</v>
      </c>
      <c r="F105" s="42" t="s">
        <v>261</v>
      </c>
      <c r="G105" s="84">
        <f>35296+(364+182)</f>
        <v>35842</v>
      </c>
      <c r="H105" s="53" t="str">
        <f>CHOOSE(MONTH(G105),"Jan","Feb","Mar","Apr","May","Jun","Jul","Aug","Sep","Oct","Nov","Dec")</f>
        <v>Feb</v>
      </c>
      <c r="I105" s="54">
        <f ca="1">DATEDIF(G105,TODAY(),"Y")</f>
        <v>18</v>
      </c>
      <c r="J105" s="55" t="s">
        <v>276</v>
      </c>
      <c r="K105" s="56">
        <v>23380</v>
      </c>
      <c r="L105" s="57">
        <v>4</v>
      </c>
      <c r="M105" s="62">
        <f>ROUND(K105*P103+K105,0)</f>
        <v>23380</v>
      </c>
    </row>
    <row r="106" spans="1:15" x14ac:dyDescent="0.25">
      <c r="A106" s="42" t="s">
        <v>911</v>
      </c>
      <c r="B106" s="49" t="s">
        <v>280</v>
      </c>
      <c r="C106" s="42" t="s">
        <v>856</v>
      </c>
      <c r="D106" s="105">
        <v>619456809</v>
      </c>
      <c r="E106" s="105">
        <v>9196865606</v>
      </c>
      <c r="F106" s="42" t="s">
        <v>261</v>
      </c>
      <c r="G106" s="84">
        <f>35296+(364+182)</f>
        <v>35842</v>
      </c>
      <c r="H106" s="53" t="str">
        <f>CHOOSE(MONTH(G106),"Jan","Feb","Mar","Apr","May","Jun","Jul","Aug","Sep","Oct","Nov","Dec")</f>
        <v>Feb</v>
      </c>
      <c r="I106" s="54">
        <f ca="1">DATEDIF(G106,TODAY(),"Y")</f>
        <v>18</v>
      </c>
      <c r="J106" s="55" t="s">
        <v>267</v>
      </c>
      <c r="K106" s="56">
        <v>39530</v>
      </c>
      <c r="L106" s="57">
        <v>5</v>
      </c>
      <c r="M106" s="62">
        <f>ROUND(K106*P104+K106,0)</f>
        <v>39530</v>
      </c>
    </row>
    <row r="107" spans="1:15" x14ac:dyDescent="0.25">
      <c r="A107" s="42" t="s">
        <v>314</v>
      </c>
      <c r="B107" s="49" t="s">
        <v>271</v>
      </c>
      <c r="C107" s="42" t="s">
        <v>312</v>
      </c>
      <c r="D107" s="105">
        <v>981106829</v>
      </c>
      <c r="E107" s="105">
        <v>2526196095</v>
      </c>
      <c r="F107" s="42" t="s">
        <v>247</v>
      </c>
      <c r="G107" s="84">
        <f>35302+(364+182)</f>
        <v>35848</v>
      </c>
      <c r="H107" s="53" t="str">
        <f>CHOOSE(MONTH(G107),"Jan","Feb","Mar","Apr","May","Jun","Jul","Aug","Sep","Oct","Nov","Dec")</f>
        <v>Feb</v>
      </c>
      <c r="I107" s="54">
        <f ca="1">DATEDIF(G107,TODAY(),"Y")</f>
        <v>18</v>
      </c>
      <c r="J107" s="55"/>
      <c r="K107" s="56">
        <v>85480</v>
      </c>
      <c r="L107" s="57">
        <v>5</v>
      </c>
      <c r="M107" s="62">
        <f>ROUND(K107*P105+K107,0)</f>
        <v>85480</v>
      </c>
    </row>
    <row r="108" spans="1:15" x14ac:dyDescent="0.25">
      <c r="A108" s="42" t="s">
        <v>657</v>
      </c>
      <c r="B108" s="49" t="s">
        <v>245</v>
      </c>
      <c r="C108" s="42" t="s">
        <v>626</v>
      </c>
      <c r="D108" s="105">
        <v>259330447</v>
      </c>
      <c r="E108" s="105">
        <v>9195252544</v>
      </c>
      <c r="F108" s="42" t="s">
        <v>247</v>
      </c>
      <c r="G108" s="84">
        <f>35646+(364+182)</f>
        <v>36192</v>
      </c>
      <c r="H108" s="53" t="str">
        <f>CHOOSE(MONTH(G108),"Jan","Feb","Mar","Apr","May","Jun","Jul","Aug","Sep","Oct","Nov","Dec")</f>
        <v>Feb</v>
      </c>
      <c r="I108" s="54">
        <f ca="1">DATEDIF(G108,TODAY(),"Y")</f>
        <v>17</v>
      </c>
      <c r="J108" s="55"/>
      <c r="K108" s="56">
        <v>47620</v>
      </c>
      <c r="L108" s="57">
        <v>5</v>
      </c>
      <c r="M108" s="62">
        <f>ROUND(K108*P106+K108,0)</f>
        <v>47620</v>
      </c>
    </row>
    <row r="109" spans="1:15" x14ac:dyDescent="0.25">
      <c r="A109" s="42" t="s">
        <v>934</v>
      </c>
      <c r="B109" s="49" t="s">
        <v>245</v>
      </c>
      <c r="C109" s="42" t="s">
        <v>930</v>
      </c>
      <c r="D109" s="105">
        <v>247422007</v>
      </c>
      <c r="E109" s="105">
        <v>2528012440</v>
      </c>
      <c r="F109" s="42" t="s">
        <v>247</v>
      </c>
      <c r="G109" s="84">
        <f>35647+(364+182)</f>
        <v>36193</v>
      </c>
      <c r="H109" s="53" t="str">
        <f>CHOOSE(MONTH(G109),"Jan","Feb","Mar","Apr","May","Jun","Jul","Aug","Sep","Oct","Nov","Dec")</f>
        <v>Feb</v>
      </c>
      <c r="I109" s="54">
        <f ca="1">DATEDIF(G109,TODAY(),"Y")</f>
        <v>17</v>
      </c>
      <c r="J109" s="55"/>
      <c r="K109" s="56">
        <v>58250</v>
      </c>
      <c r="L109" s="57">
        <v>2</v>
      </c>
      <c r="M109" s="62">
        <f>ROUND(K109*P107+K109,0)</f>
        <v>58250</v>
      </c>
    </row>
    <row r="110" spans="1:15" x14ac:dyDescent="0.25">
      <c r="A110" s="42" t="s">
        <v>782</v>
      </c>
      <c r="B110" s="49" t="s">
        <v>271</v>
      </c>
      <c r="C110" s="42" t="s">
        <v>767</v>
      </c>
      <c r="D110" s="105">
        <v>978154935</v>
      </c>
      <c r="E110" s="105">
        <v>2521384592</v>
      </c>
      <c r="F110" s="42" t="s">
        <v>256</v>
      </c>
      <c r="G110" s="84">
        <f>35649+(364+182)</f>
        <v>36195</v>
      </c>
      <c r="H110" s="53" t="str">
        <f>CHOOSE(MONTH(G110),"Jan","Feb","Mar","Apr","May","Jun","Jul","Aug","Sep","Oct","Nov","Dec")</f>
        <v>Feb</v>
      </c>
      <c r="I110" s="54">
        <f ca="1">DATEDIF(G110,TODAY(),"Y")</f>
        <v>17</v>
      </c>
      <c r="J110" s="55" t="s">
        <v>267</v>
      </c>
      <c r="K110" s="56">
        <v>46360</v>
      </c>
      <c r="L110" s="57">
        <v>5</v>
      </c>
      <c r="M110" s="62">
        <f>ROUND(K110*P108+K110,0)</f>
        <v>46360</v>
      </c>
    </row>
    <row r="111" spans="1:15" x14ac:dyDescent="0.25">
      <c r="A111" s="42" t="s">
        <v>901</v>
      </c>
      <c r="B111" s="49" t="s">
        <v>271</v>
      </c>
      <c r="C111" s="42" t="s">
        <v>856</v>
      </c>
      <c r="D111" s="105">
        <v>718930584</v>
      </c>
      <c r="E111" s="105">
        <v>9195804771</v>
      </c>
      <c r="F111" s="42" t="s">
        <v>261</v>
      </c>
      <c r="G111" s="84">
        <f>35650+(364+182)</f>
        <v>36196</v>
      </c>
      <c r="H111" s="53" t="str">
        <f>CHOOSE(MONTH(G111),"Jan","Feb","Mar","Apr","May","Jun","Jul","Aug","Sep","Oct","Nov","Dec")</f>
        <v>Feb</v>
      </c>
      <c r="I111" s="54">
        <f ca="1">DATEDIF(G111,TODAY(),"Y")</f>
        <v>17</v>
      </c>
      <c r="J111" s="55" t="s">
        <v>257</v>
      </c>
      <c r="K111" s="56">
        <v>34980</v>
      </c>
      <c r="L111" s="57">
        <v>2</v>
      </c>
      <c r="M111" s="62">
        <f>ROUND(K111*P109+K111,0)</f>
        <v>34980</v>
      </c>
    </row>
    <row r="112" spans="1:15" x14ac:dyDescent="0.25">
      <c r="A112" s="42" t="s">
        <v>486</v>
      </c>
      <c r="B112" s="49" t="s">
        <v>251</v>
      </c>
      <c r="C112" s="42" t="s">
        <v>465</v>
      </c>
      <c r="D112" s="105">
        <v>923123594</v>
      </c>
      <c r="E112" s="105">
        <v>2528669137</v>
      </c>
      <c r="F112" s="42" t="s">
        <v>256</v>
      </c>
      <c r="G112" s="84">
        <f>35652+(364+182)</f>
        <v>36198</v>
      </c>
      <c r="H112" s="53" t="str">
        <f>CHOOSE(MONTH(G112),"Jan","Feb","Mar","Apr","May","Jun","Jul","Aug","Sep","Oct","Nov","Dec")</f>
        <v>Feb</v>
      </c>
      <c r="I112" s="54">
        <f ca="1">DATEDIF(G112,TODAY(),"Y")</f>
        <v>17</v>
      </c>
      <c r="J112" s="55" t="s">
        <v>276</v>
      </c>
      <c r="K112" s="56">
        <v>81400</v>
      </c>
      <c r="L112" s="57">
        <v>2</v>
      </c>
      <c r="M112" s="62">
        <f>ROUND(K112*P110+K112,0)</f>
        <v>81400</v>
      </c>
    </row>
    <row r="113" spans="1:15" x14ac:dyDescent="0.25">
      <c r="A113" s="42" t="s">
        <v>664</v>
      </c>
      <c r="B113" s="49" t="s">
        <v>251</v>
      </c>
      <c r="C113" s="42" t="s">
        <v>626</v>
      </c>
      <c r="D113" s="105">
        <v>345817459</v>
      </c>
      <c r="E113" s="105">
        <v>9195594427</v>
      </c>
      <c r="F113" s="42" t="s">
        <v>247</v>
      </c>
      <c r="G113" s="84">
        <f>35653+(364+182)</f>
        <v>36199</v>
      </c>
      <c r="H113" s="53" t="str">
        <f>CHOOSE(MONTH(G113),"Jan","Feb","Mar","Apr","May","Jun","Jul","Aug","Sep","Oct","Nov","Dec")</f>
        <v>Feb</v>
      </c>
      <c r="I113" s="54">
        <f ca="1">DATEDIF(G113,TODAY(),"Y")</f>
        <v>17</v>
      </c>
      <c r="J113" s="55"/>
      <c r="K113" s="56">
        <v>31270</v>
      </c>
      <c r="L113" s="57">
        <v>5</v>
      </c>
      <c r="M113" s="62">
        <f>ROUND(K113*P111+K113,0)</f>
        <v>31270</v>
      </c>
    </row>
    <row r="114" spans="1:15" x14ac:dyDescent="0.25">
      <c r="A114" s="42" t="s">
        <v>298</v>
      </c>
      <c r="B114" s="49" t="s">
        <v>285</v>
      </c>
      <c r="C114" s="42" t="s">
        <v>296</v>
      </c>
      <c r="D114" s="105">
        <v>533976888</v>
      </c>
      <c r="E114" s="105">
        <v>9192572783</v>
      </c>
      <c r="F114" s="42" t="s">
        <v>256</v>
      </c>
      <c r="G114" s="84">
        <f>35668+(364+182)</f>
        <v>36214</v>
      </c>
      <c r="H114" s="53" t="str">
        <f>CHOOSE(MONTH(G114),"Jan","Feb","Mar","Apr","May","Jun","Jul","Aug","Sep","Oct","Nov","Dec")</f>
        <v>Feb</v>
      </c>
      <c r="I114" s="54">
        <f ca="1">DATEDIF(G114,TODAY(),"Y")</f>
        <v>17</v>
      </c>
      <c r="J114" s="55" t="s">
        <v>276</v>
      </c>
      <c r="K114" s="56">
        <v>47850</v>
      </c>
      <c r="L114" s="57">
        <v>1</v>
      </c>
      <c r="M114" s="62">
        <f>ROUND(K114*P112+K114,0)</f>
        <v>47850</v>
      </c>
    </row>
    <row r="115" spans="1:15" x14ac:dyDescent="0.25">
      <c r="A115" s="42" t="s">
        <v>888</v>
      </c>
      <c r="B115" s="49" t="s">
        <v>285</v>
      </c>
      <c r="C115" s="42" t="s">
        <v>856</v>
      </c>
      <c r="D115" s="105">
        <v>351003584</v>
      </c>
      <c r="E115" s="105">
        <v>2524269081</v>
      </c>
      <c r="F115" s="42" t="s">
        <v>247</v>
      </c>
      <c r="G115" s="84">
        <f>35668+(364+182)</f>
        <v>36214</v>
      </c>
      <c r="H115" s="53" t="str">
        <f>CHOOSE(MONTH(G115),"Jan","Feb","Mar","Apr","May","Jun","Jul","Aug","Sep","Oct","Nov","Dec")</f>
        <v>Feb</v>
      </c>
      <c r="I115" s="54">
        <f ca="1">DATEDIF(G115,TODAY(),"Y")</f>
        <v>17</v>
      </c>
      <c r="J115" s="55"/>
      <c r="K115" s="56">
        <v>53310</v>
      </c>
      <c r="L115" s="57">
        <v>5</v>
      </c>
      <c r="M115" s="62">
        <f>ROUND(K115*P113+K115,0)</f>
        <v>53310</v>
      </c>
    </row>
    <row r="116" spans="1:15" x14ac:dyDescent="0.25">
      <c r="A116" s="48" t="s">
        <v>281</v>
      </c>
      <c r="B116" s="49" t="s">
        <v>251</v>
      </c>
      <c r="C116" s="48" t="s">
        <v>272</v>
      </c>
      <c r="D116" s="109">
        <v>356110882</v>
      </c>
      <c r="E116" s="109">
        <v>2527936742</v>
      </c>
      <c r="F116" s="48" t="s">
        <v>261</v>
      </c>
      <c r="G116" s="108">
        <f>35671+(364+182)</f>
        <v>36217</v>
      </c>
      <c r="H116" s="53" t="str">
        <f>CHOOSE(MONTH(G116),"Jan","Feb","Mar","Apr","May","Jun","Jul","Aug","Sep","Oct","Nov","Dec")</f>
        <v>Feb</v>
      </c>
      <c r="I116" s="54">
        <f ca="1">DATEDIF(G116,TODAY(),"Y")</f>
        <v>17</v>
      </c>
      <c r="J116" s="55" t="s">
        <v>257</v>
      </c>
      <c r="K116" s="56">
        <v>15240</v>
      </c>
      <c r="L116" s="57">
        <v>1</v>
      </c>
      <c r="M116" s="62">
        <f>ROUND(K116*P114+K116,0)</f>
        <v>15240</v>
      </c>
      <c r="O116" s="107"/>
    </row>
    <row r="117" spans="1:15" x14ac:dyDescent="0.25">
      <c r="A117" s="42" t="s">
        <v>818</v>
      </c>
      <c r="B117" s="49" t="s">
        <v>280</v>
      </c>
      <c r="C117" s="42" t="s">
        <v>767</v>
      </c>
      <c r="D117" s="105">
        <v>369210573</v>
      </c>
      <c r="E117" s="105">
        <v>2526555049</v>
      </c>
      <c r="F117" s="42" t="s">
        <v>261</v>
      </c>
      <c r="G117" s="84">
        <f>35671+(364+182)</f>
        <v>36217</v>
      </c>
      <c r="H117" s="53" t="str">
        <f>CHOOSE(MONTH(G117),"Jan","Feb","Mar","Apr","May","Jun","Jul","Aug","Sep","Oct","Nov","Dec")</f>
        <v>Feb</v>
      </c>
      <c r="I117" s="54">
        <f ca="1">DATEDIF(G117,TODAY(),"Y")</f>
        <v>17</v>
      </c>
      <c r="J117" s="55" t="s">
        <v>283</v>
      </c>
      <c r="K117" s="56">
        <v>22475</v>
      </c>
      <c r="L117" s="57">
        <v>4</v>
      </c>
      <c r="M117" s="62">
        <f>ROUND(K117*P115+K117,0)</f>
        <v>22475</v>
      </c>
    </row>
    <row r="118" spans="1:15" x14ac:dyDescent="0.25">
      <c r="A118" s="42" t="s">
        <v>868</v>
      </c>
      <c r="B118" s="49" t="s">
        <v>266</v>
      </c>
      <c r="C118" s="42" t="s">
        <v>856</v>
      </c>
      <c r="D118" s="105">
        <v>733881041</v>
      </c>
      <c r="E118" s="105">
        <v>2524072342</v>
      </c>
      <c r="F118" s="42" t="s">
        <v>252</v>
      </c>
      <c r="G118" s="84">
        <f>36011+(364+182)</f>
        <v>36557</v>
      </c>
      <c r="H118" s="53" t="str">
        <f>CHOOSE(MONTH(G118),"Jan","Feb","Mar","Apr","May","Jun","Jul","Aug","Sep","Oct","Nov","Dec")</f>
        <v>Feb</v>
      </c>
      <c r="I118" s="54">
        <f ca="1">DATEDIF(G118,TODAY(),"Y")</f>
        <v>16</v>
      </c>
      <c r="J118" s="55"/>
      <c r="K118" s="56">
        <v>15552</v>
      </c>
      <c r="L118" s="57">
        <v>4</v>
      </c>
      <c r="M118" s="62">
        <f>ROUND(K118*P116+K118,0)</f>
        <v>15552</v>
      </c>
    </row>
    <row r="119" spans="1:15" x14ac:dyDescent="0.25">
      <c r="A119" s="42" t="s">
        <v>1033</v>
      </c>
      <c r="B119" s="49" t="s">
        <v>266</v>
      </c>
      <c r="C119" s="42" t="s">
        <v>1031</v>
      </c>
      <c r="D119" s="105">
        <v>495372474</v>
      </c>
      <c r="E119" s="105">
        <v>9194137278</v>
      </c>
      <c r="F119" s="42" t="s">
        <v>261</v>
      </c>
      <c r="G119" s="84">
        <f>36011+(364+182)</f>
        <v>36557</v>
      </c>
      <c r="H119" s="53" t="str">
        <f>CHOOSE(MONTH(G119),"Jan","Feb","Mar","Apr","May","Jun","Jul","Aug","Sep","Oct","Nov","Dec")</f>
        <v>Feb</v>
      </c>
      <c r="I119" s="54">
        <f ca="1">DATEDIF(G119,TODAY(),"Y")</f>
        <v>16</v>
      </c>
      <c r="J119" s="55" t="s">
        <v>257</v>
      </c>
      <c r="K119" s="56">
        <v>31250</v>
      </c>
      <c r="L119" s="57">
        <v>2</v>
      </c>
      <c r="M119" s="62">
        <f>ROUND(K119*P117+K119,0)</f>
        <v>31250</v>
      </c>
    </row>
    <row r="120" spans="1:15" x14ac:dyDescent="0.25">
      <c r="A120" s="42" t="s">
        <v>686</v>
      </c>
      <c r="B120" s="49" t="s">
        <v>280</v>
      </c>
      <c r="C120" s="42" t="s">
        <v>678</v>
      </c>
      <c r="D120" s="105">
        <v>665006199</v>
      </c>
      <c r="E120" s="105">
        <v>2525555817</v>
      </c>
      <c r="F120" s="42" t="s">
        <v>256</v>
      </c>
      <c r="G120" s="84">
        <f>36021+(364+182)</f>
        <v>36567</v>
      </c>
      <c r="H120" s="53" t="str">
        <f>CHOOSE(MONTH(G120),"Jan","Feb","Mar","Apr","May","Jun","Jul","Aug","Sep","Oct","Nov","Dec")</f>
        <v>Feb</v>
      </c>
      <c r="I120" s="54">
        <f ca="1">DATEDIF(G120,TODAY(),"Y")</f>
        <v>16</v>
      </c>
      <c r="J120" s="55" t="s">
        <v>276</v>
      </c>
      <c r="K120" s="56">
        <v>45450</v>
      </c>
      <c r="L120" s="57">
        <v>5</v>
      </c>
      <c r="M120" s="62">
        <f>ROUND(K120*P118+K120,0)</f>
        <v>45450</v>
      </c>
    </row>
    <row r="121" spans="1:15" x14ac:dyDescent="0.25">
      <c r="A121" s="42" t="s">
        <v>414</v>
      </c>
      <c r="B121" s="49" t="s">
        <v>245</v>
      </c>
      <c r="C121" s="42" t="s">
        <v>411</v>
      </c>
      <c r="D121" s="105">
        <v>885773638</v>
      </c>
      <c r="E121" s="105">
        <v>9196188082</v>
      </c>
      <c r="F121" s="42" t="s">
        <v>256</v>
      </c>
      <c r="G121" s="84">
        <f>36023+(364+182)</f>
        <v>36569</v>
      </c>
      <c r="H121" s="53" t="str">
        <f>CHOOSE(MONTH(G121),"Jan","Feb","Mar","Apr","May","Jun","Jul","Aug","Sep","Oct","Nov","Dec")</f>
        <v>Feb</v>
      </c>
      <c r="I121" s="54">
        <f ca="1">DATEDIF(G121,TODAY(),"Y")</f>
        <v>16</v>
      </c>
      <c r="J121" s="55" t="s">
        <v>283</v>
      </c>
      <c r="K121" s="56">
        <v>75060</v>
      </c>
      <c r="L121" s="57">
        <v>5</v>
      </c>
      <c r="M121" s="62">
        <f>ROUND(K121*P119+K121,0)</f>
        <v>75060</v>
      </c>
    </row>
    <row r="122" spans="1:15" x14ac:dyDescent="0.25">
      <c r="A122" s="42" t="s">
        <v>665</v>
      </c>
      <c r="B122" s="49" t="s">
        <v>245</v>
      </c>
      <c r="C122" s="42" t="s">
        <v>626</v>
      </c>
      <c r="D122" s="105">
        <v>662247915</v>
      </c>
      <c r="E122" s="105">
        <v>9194378387</v>
      </c>
      <c r="F122" s="42" t="s">
        <v>256</v>
      </c>
      <c r="G122" s="84">
        <f>36394+(364+182)</f>
        <v>36940</v>
      </c>
      <c r="H122" s="53" t="str">
        <f>CHOOSE(MONTH(G122),"Jan","Feb","Mar","Apr","May","Jun","Jul","Aug","Sep","Oct","Nov","Dec")</f>
        <v>Feb</v>
      </c>
      <c r="I122" s="54">
        <f ca="1">DATEDIF(G122,TODAY(),"Y")</f>
        <v>15</v>
      </c>
      <c r="J122" s="55" t="s">
        <v>257</v>
      </c>
      <c r="K122" s="56">
        <v>48990</v>
      </c>
      <c r="L122" s="57">
        <v>5</v>
      </c>
      <c r="M122" s="62">
        <f>ROUND(K122*P120+K122,0)</f>
        <v>48990</v>
      </c>
    </row>
    <row r="123" spans="1:15" x14ac:dyDescent="0.25">
      <c r="A123" s="42" t="s">
        <v>454</v>
      </c>
      <c r="B123" s="49" t="s">
        <v>271</v>
      </c>
      <c r="C123" s="42" t="s">
        <v>417</v>
      </c>
      <c r="D123" s="105">
        <v>625531462</v>
      </c>
      <c r="E123" s="105">
        <v>2527553017</v>
      </c>
      <c r="F123" s="42" t="s">
        <v>256</v>
      </c>
      <c r="G123" s="84">
        <f>36742+(364+182)</f>
        <v>37288</v>
      </c>
      <c r="H123" s="53" t="str">
        <f>CHOOSE(MONTH(G123),"Jan","Feb","Mar","Apr","May","Jun","Jul","Aug","Sep","Oct","Nov","Dec")</f>
        <v>Feb</v>
      </c>
      <c r="I123" s="54">
        <f ca="1">DATEDIF(G123,TODAY(),"Y")</f>
        <v>14</v>
      </c>
      <c r="J123" s="55" t="s">
        <v>257</v>
      </c>
      <c r="K123" s="56">
        <v>42480</v>
      </c>
      <c r="L123" s="57">
        <v>3</v>
      </c>
      <c r="M123" s="62">
        <f>ROUND(K123*P121+K123,0)</f>
        <v>42480</v>
      </c>
    </row>
    <row r="124" spans="1:15" x14ac:dyDescent="0.25">
      <c r="A124" s="42" t="s">
        <v>394</v>
      </c>
      <c r="B124" s="49" t="s">
        <v>280</v>
      </c>
      <c r="C124" s="42" t="s">
        <v>391</v>
      </c>
      <c r="D124" s="105">
        <v>581823751</v>
      </c>
      <c r="E124" s="105">
        <v>2528577225</v>
      </c>
      <c r="F124" s="42" t="s">
        <v>247</v>
      </c>
      <c r="G124" s="84">
        <f>37121+(364+182)</f>
        <v>37667</v>
      </c>
      <c r="H124" s="53" t="str">
        <f>CHOOSE(MONTH(G124),"Jan","Feb","Mar","Apr","May","Jun","Jul","Aug","Sep","Oct","Nov","Dec")</f>
        <v>Feb</v>
      </c>
      <c r="I124" s="54">
        <f ca="1">DATEDIF(G124,TODAY(),"Y")</f>
        <v>13</v>
      </c>
      <c r="J124" s="55"/>
      <c r="K124" s="56">
        <v>73390</v>
      </c>
      <c r="L124" s="57">
        <v>2</v>
      </c>
      <c r="M124" s="62">
        <f>ROUND(K124*P122+K124,0)</f>
        <v>73390</v>
      </c>
    </row>
    <row r="125" spans="1:15" x14ac:dyDescent="0.25">
      <c r="A125" s="42" t="s">
        <v>918</v>
      </c>
      <c r="B125" s="49" t="s">
        <v>251</v>
      </c>
      <c r="C125" s="42" t="s">
        <v>856</v>
      </c>
      <c r="D125" s="105">
        <v>626501093</v>
      </c>
      <c r="E125" s="105">
        <v>9192822520</v>
      </c>
      <c r="F125" s="42" t="s">
        <v>247</v>
      </c>
      <c r="G125" s="84">
        <f>37481+(364+182)</f>
        <v>38027</v>
      </c>
      <c r="H125" s="53" t="str">
        <f>CHOOSE(MONTH(G125),"Jan","Feb","Mar","Apr","May","Jun","Jul","Aug","Sep","Oct","Nov","Dec")</f>
        <v>Feb</v>
      </c>
      <c r="I125" s="54">
        <f ca="1">DATEDIF(G125,TODAY(),"Y")</f>
        <v>12</v>
      </c>
      <c r="J125" s="55"/>
      <c r="K125" s="56">
        <v>64590</v>
      </c>
      <c r="L125" s="57">
        <v>1</v>
      </c>
      <c r="M125" s="62">
        <f>ROUND(K125*P123+K125,0)</f>
        <v>64590</v>
      </c>
    </row>
    <row r="126" spans="1:15" x14ac:dyDescent="0.25">
      <c r="A126" s="42" t="s">
        <v>489</v>
      </c>
      <c r="B126" s="49" t="s">
        <v>285</v>
      </c>
      <c r="C126" s="42" t="s">
        <v>465</v>
      </c>
      <c r="D126" s="105">
        <v>337370590</v>
      </c>
      <c r="E126" s="105">
        <v>9197046530</v>
      </c>
      <c r="F126" s="42" t="s">
        <v>247</v>
      </c>
      <c r="G126" s="84">
        <f>37498+(364+182)</f>
        <v>38044</v>
      </c>
      <c r="H126" s="53" t="str">
        <f>CHOOSE(MONTH(G126),"Jan","Feb","Mar","Apr","May","Jun","Jul","Aug","Sep","Oct","Nov","Dec")</f>
        <v>Feb</v>
      </c>
      <c r="I126" s="54">
        <f ca="1">DATEDIF(G126,TODAY(),"Y")</f>
        <v>12</v>
      </c>
      <c r="J126" s="55"/>
      <c r="K126" s="56">
        <v>57410</v>
      </c>
      <c r="L126" s="57">
        <v>2</v>
      </c>
      <c r="M126" s="62">
        <f>ROUND(K126*P124+K126,0)</f>
        <v>57410</v>
      </c>
    </row>
    <row r="127" spans="1:15" x14ac:dyDescent="0.25">
      <c r="A127" s="42" t="s">
        <v>373</v>
      </c>
      <c r="B127" s="49" t="s">
        <v>271</v>
      </c>
      <c r="C127" s="42" t="s">
        <v>372</v>
      </c>
      <c r="D127" s="105">
        <v>759350847</v>
      </c>
      <c r="E127" s="105">
        <v>2527474942</v>
      </c>
      <c r="F127" s="42" t="s">
        <v>256</v>
      </c>
      <c r="G127" s="84">
        <f>37851+(364+182)</f>
        <v>38397</v>
      </c>
      <c r="H127" s="53" t="str">
        <f>CHOOSE(MONTH(G127),"Jan","Feb","Mar","Apr","May","Jun","Jul","Aug","Sep","Oct","Nov","Dec")</f>
        <v>Feb</v>
      </c>
      <c r="I127" s="54">
        <f ca="1">DATEDIF(G127,TODAY(),"Y")</f>
        <v>11</v>
      </c>
      <c r="J127" s="55" t="s">
        <v>257</v>
      </c>
      <c r="K127" s="56">
        <v>36630</v>
      </c>
      <c r="L127" s="57">
        <v>4</v>
      </c>
      <c r="M127" s="62">
        <f>ROUND(K127*P125+K127,0)</f>
        <v>36630</v>
      </c>
    </row>
    <row r="128" spans="1:15" x14ac:dyDescent="0.25">
      <c r="A128" s="42" t="s">
        <v>440</v>
      </c>
      <c r="B128" s="49" t="s">
        <v>285</v>
      </c>
      <c r="C128" s="42" t="s">
        <v>417</v>
      </c>
      <c r="D128" s="105">
        <v>659929807</v>
      </c>
      <c r="E128" s="105">
        <v>9193089561</v>
      </c>
      <c r="F128" s="42" t="s">
        <v>256</v>
      </c>
      <c r="G128" s="84">
        <f>38207+(364+182)</f>
        <v>38753</v>
      </c>
      <c r="H128" s="53" t="str">
        <f>CHOOSE(MONTH(G128),"Jan","Feb","Mar","Apr","May","Jun","Jul","Aug","Sep","Oct","Nov","Dec")</f>
        <v>Feb</v>
      </c>
      <c r="I128" s="54">
        <f ca="1">DATEDIF(G128,TODAY(),"Y")</f>
        <v>10</v>
      </c>
      <c r="J128" s="55" t="s">
        <v>257</v>
      </c>
      <c r="K128" s="56">
        <v>22410</v>
      </c>
      <c r="L128" s="57">
        <v>4</v>
      </c>
      <c r="M128" s="62">
        <f>ROUND(K128*P126+K128,0)</f>
        <v>22410</v>
      </c>
    </row>
    <row r="129" spans="1:34" x14ac:dyDescent="0.25">
      <c r="A129" s="42" t="s">
        <v>374</v>
      </c>
      <c r="B129" s="49" t="s">
        <v>285</v>
      </c>
      <c r="C129" s="42" t="s">
        <v>372</v>
      </c>
      <c r="D129" s="105">
        <v>920505896</v>
      </c>
      <c r="E129" s="105">
        <v>2523173691</v>
      </c>
      <c r="F129" s="42" t="s">
        <v>247</v>
      </c>
      <c r="G129" s="84">
        <f>38209+(364+182)</f>
        <v>38755</v>
      </c>
      <c r="H129" s="53" t="str">
        <f>CHOOSE(MONTH(G129),"Jan","Feb","Mar","Apr","May","Jun","Jul","Aug","Sep","Oct","Nov","Dec")</f>
        <v>Feb</v>
      </c>
      <c r="I129" s="54">
        <f ca="1">DATEDIF(G129,TODAY(),"Y")</f>
        <v>10</v>
      </c>
      <c r="J129" s="55"/>
      <c r="K129" s="56">
        <v>78860</v>
      </c>
      <c r="L129" s="57">
        <v>2</v>
      </c>
      <c r="M129" s="62">
        <f>ROUND(K129*P127+K129,0)</f>
        <v>78860</v>
      </c>
    </row>
    <row r="130" spans="1:34" s="87" customFormat="1" x14ac:dyDescent="0.25">
      <c r="A130" s="42" t="s">
        <v>807</v>
      </c>
      <c r="B130" s="49" t="s">
        <v>285</v>
      </c>
      <c r="C130" s="42" t="s">
        <v>767</v>
      </c>
      <c r="D130" s="105">
        <v>765512793</v>
      </c>
      <c r="E130" s="105">
        <v>9197686976</v>
      </c>
      <c r="F130" s="42" t="s">
        <v>256</v>
      </c>
      <c r="G130" s="84">
        <f>39318+(364+182)</f>
        <v>39864</v>
      </c>
      <c r="H130" s="53" t="str">
        <f>CHOOSE(MONTH(G130),"Jan","Feb","Mar","Apr","May","Jun","Jul","Aug","Sep","Oct","Nov","Dec")</f>
        <v>Feb</v>
      </c>
      <c r="I130" s="54">
        <f ca="1">DATEDIF(G130,TODAY(),"Y")</f>
        <v>7</v>
      </c>
      <c r="J130" s="55" t="s">
        <v>257</v>
      </c>
      <c r="K130" s="56">
        <v>64320</v>
      </c>
      <c r="L130" s="57">
        <v>5</v>
      </c>
      <c r="M130" s="62">
        <f>ROUND(K130*P128+K130,0)</f>
        <v>64320</v>
      </c>
      <c r="N130" s="103"/>
      <c r="O130" s="48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</row>
    <row r="131" spans="1:34" s="87" customFormat="1" x14ac:dyDescent="0.25">
      <c r="A131" s="42" t="s">
        <v>653</v>
      </c>
      <c r="B131" s="49" t="s">
        <v>245</v>
      </c>
      <c r="C131" s="42" t="s">
        <v>626</v>
      </c>
      <c r="D131" s="105">
        <v>132016163</v>
      </c>
      <c r="E131" s="105">
        <v>2527726916</v>
      </c>
      <c r="F131" s="42" t="s">
        <v>261</v>
      </c>
      <c r="G131" s="84">
        <f>39325+(364+182)</f>
        <v>39871</v>
      </c>
      <c r="H131" s="53" t="str">
        <f>CHOOSE(MONTH(G131),"Jan","Feb","Mar","Apr","May","Jun","Jul","Aug","Sep","Oct","Nov","Dec")</f>
        <v>Feb</v>
      </c>
      <c r="I131" s="54">
        <f ca="1">DATEDIF(G131,TODAY(),"Y")</f>
        <v>7</v>
      </c>
      <c r="J131" s="55" t="s">
        <v>267</v>
      </c>
      <c r="K131" s="56">
        <v>38575</v>
      </c>
      <c r="L131" s="57">
        <v>2</v>
      </c>
      <c r="M131" s="62">
        <f>ROUND(K131*P129+K131,0)</f>
        <v>38575</v>
      </c>
      <c r="N131" s="103"/>
      <c r="O131" s="48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</row>
    <row r="132" spans="1:34" s="87" customFormat="1" x14ac:dyDescent="0.25">
      <c r="A132" s="42" t="s">
        <v>949</v>
      </c>
      <c r="B132" s="49" t="s">
        <v>285</v>
      </c>
      <c r="C132" s="42" t="s">
        <v>930</v>
      </c>
      <c r="D132" s="105">
        <v>794814501</v>
      </c>
      <c r="E132" s="105">
        <v>2525604891</v>
      </c>
      <c r="F132" s="42" t="s">
        <v>247</v>
      </c>
      <c r="G132" s="84">
        <f>39689+(364+182)</f>
        <v>40235</v>
      </c>
      <c r="H132" s="53" t="str">
        <f>CHOOSE(MONTH(G132),"Jan","Feb","Mar","Apr","May","Jun","Jul","Aug","Sep","Oct","Nov","Dec")</f>
        <v>Feb</v>
      </c>
      <c r="I132" s="54">
        <f ca="1">DATEDIF(G132,TODAY(),"Y")</f>
        <v>6</v>
      </c>
      <c r="J132" s="55"/>
      <c r="K132" s="56">
        <v>80729</v>
      </c>
      <c r="L132" s="57">
        <v>3</v>
      </c>
      <c r="M132" s="62">
        <f>ROUND(K132*P130+K132,0)</f>
        <v>80729</v>
      </c>
      <c r="N132" s="103"/>
      <c r="O132" s="48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</row>
    <row r="133" spans="1:34" s="87" customFormat="1" x14ac:dyDescent="0.25">
      <c r="A133" s="42" t="s">
        <v>448</v>
      </c>
      <c r="B133" s="49" t="s">
        <v>271</v>
      </c>
      <c r="C133" s="42" t="s">
        <v>417</v>
      </c>
      <c r="D133" s="105">
        <v>232896341</v>
      </c>
      <c r="E133" s="105">
        <v>9197288082</v>
      </c>
      <c r="F133" s="42" t="s">
        <v>247</v>
      </c>
      <c r="G133" s="106">
        <f>39690+(364+182)</f>
        <v>40236</v>
      </c>
      <c r="H133" s="53" t="str">
        <f>CHOOSE(MONTH(G133),"Jan","Feb","Mar","Apr","May","Jun","Jul","Aug","Sep","Oct","Nov","Dec")</f>
        <v>Feb</v>
      </c>
      <c r="I133" s="54">
        <f ca="1">DATEDIF(G133,TODAY(),"Y")</f>
        <v>6</v>
      </c>
      <c r="J133" s="55"/>
      <c r="K133" s="56">
        <v>45830</v>
      </c>
      <c r="L133" s="57">
        <v>4</v>
      </c>
      <c r="M133" s="62">
        <f>ROUND(K133*P131+K133,0)</f>
        <v>45830</v>
      </c>
      <c r="N133" s="103"/>
      <c r="O133" s="48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</row>
    <row r="134" spans="1:34" s="87" customFormat="1" x14ac:dyDescent="0.25">
      <c r="A134" s="42" t="s">
        <v>365</v>
      </c>
      <c r="B134" s="49" t="s">
        <v>251</v>
      </c>
      <c r="C134" s="42" t="s">
        <v>312</v>
      </c>
      <c r="D134" s="105">
        <v>877122222</v>
      </c>
      <c r="E134" s="105">
        <v>9195511103</v>
      </c>
      <c r="F134" s="42" t="s">
        <v>256</v>
      </c>
      <c r="G134" s="84">
        <f>40029+(364+182)</f>
        <v>40575</v>
      </c>
      <c r="H134" s="53" t="str">
        <f>CHOOSE(MONTH(G134),"Jan","Feb","Mar","Apr","May","Jun","Jul","Aug","Sep","Oct","Nov","Dec")</f>
        <v>Feb</v>
      </c>
      <c r="I134" s="54">
        <f ca="1">DATEDIF(G134,TODAY(),"Y")</f>
        <v>5</v>
      </c>
      <c r="J134" s="55" t="s">
        <v>276</v>
      </c>
      <c r="K134" s="56">
        <v>74710</v>
      </c>
      <c r="L134" s="57">
        <v>2</v>
      </c>
      <c r="M134" s="62">
        <f>ROUND(K134*P132+K134,0)</f>
        <v>74710</v>
      </c>
      <c r="N134" s="103"/>
      <c r="O134" s="48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</row>
    <row r="135" spans="1:34" s="87" customFormat="1" x14ac:dyDescent="0.25">
      <c r="A135" s="42" t="s">
        <v>481</v>
      </c>
      <c r="B135" s="49" t="s">
        <v>245</v>
      </c>
      <c r="C135" s="42" t="s">
        <v>465</v>
      </c>
      <c r="D135" s="105">
        <v>466947318</v>
      </c>
      <c r="E135" s="105">
        <v>9191765611</v>
      </c>
      <c r="F135" s="42" t="s">
        <v>256</v>
      </c>
      <c r="G135" s="84">
        <f>40032+(364+182)</f>
        <v>40578</v>
      </c>
      <c r="H135" s="53" t="str">
        <f>CHOOSE(MONTH(G135),"Jan","Feb","Mar","Apr","May","Jun","Jul","Aug","Sep","Oct","Nov","Dec")</f>
        <v>Feb</v>
      </c>
      <c r="I135" s="54">
        <f ca="1">DATEDIF(G135,TODAY(),"Y")</f>
        <v>5</v>
      </c>
      <c r="J135" s="55" t="s">
        <v>257</v>
      </c>
      <c r="K135" s="56">
        <v>43820</v>
      </c>
      <c r="L135" s="57">
        <v>2</v>
      </c>
      <c r="M135" s="62">
        <f>ROUND(K135*P133+K135,0)</f>
        <v>43820</v>
      </c>
      <c r="N135" s="103"/>
      <c r="O135" s="48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</row>
    <row r="136" spans="1:34" s="87" customFormat="1" x14ac:dyDescent="0.25">
      <c r="A136" s="42" t="s">
        <v>883</v>
      </c>
      <c r="B136" s="49" t="s">
        <v>285</v>
      </c>
      <c r="C136" s="42" t="s">
        <v>856</v>
      </c>
      <c r="D136" s="105">
        <v>323701315</v>
      </c>
      <c r="E136" s="105">
        <v>9194479196</v>
      </c>
      <c r="F136" s="42" t="s">
        <v>256</v>
      </c>
      <c r="G136" s="84">
        <f>40035+(364+182)</f>
        <v>40581</v>
      </c>
      <c r="H136" s="53" t="str">
        <f>CHOOSE(MONTH(G136),"Jan","Feb","Mar","Apr","May","Jun","Jul","Aug","Sep","Oct","Nov","Dec")</f>
        <v>Feb</v>
      </c>
      <c r="I136" s="54">
        <f ca="1">DATEDIF(G136,TODAY(),"Y")</f>
        <v>5</v>
      </c>
      <c r="J136" s="55" t="s">
        <v>267</v>
      </c>
      <c r="K136" s="56">
        <v>80260</v>
      </c>
      <c r="L136" s="57">
        <v>3</v>
      </c>
      <c r="M136" s="62">
        <f>ROUND(K136*P134+K136,0)</f>
        <v>80260</v>
      </c>
      <c r="N136" s="103"/>
      <c r="O136" s="48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</row>
    <row r="137" spans="1:34" s="87" customFormat="1" x14ac:dyDescent="0.25">
      <c r="A137" s="42" t="s">
        <v>340</v>
      </c>
      <c r="B137" s="49" t="s">
        <v>285</v>
      </c>
      <c r="C137" s="42" t="s">
        <v>312</v>
      </c>
      <c r="D137" s="105">
        <v>129397083</v>
      </c>
      <c r="E137" s="105">
        <v>2521391475</v>
      </c>
      <c r="F137" s="42" t="s">
        <v>256</v>
      </c>
      <c r="G137" s="84">
        <f>40050+(364+182)</f>
        <v>40596</v>
      </c>
      <c r="H137" s="53" t="str">
        <f>CHOOSE(MONTH(G137),"Jan","Feb","Mar","Apr","May","Jun","Jul","Aug","Sep","Oct","Nov","Dec")</f>
        <v>Feb</v>
      </c>
      <c r="I137" s="54">
        <f ca="1">DATEDIF(G137,TODAY(),"Y")</f>
        <v>5</v>
      </c>
      <c r="J137" s="55" t="s">
        <v>267</v>
      </c>
      <c r="K137" s="56">
        <v>68910</v>
      </c>
      <c r="L137" s="57">
        <v>5</v>
      </c>
      <c r="M137" s="62">
        <f>ROUND(K137*P135+K137,0)</f>
        <v>68910</v>
      </c>
      <c r="N137" s="103"/>
      <c r="O137" s="48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</row>
    <row r="138" spans="1:34" s="87" customFormat="1" x14ac:dyDescent="0.25">
      <c r="A138" s="42" t="s">
        <v>654</v>
      </c>
      <c r="B138" s="49" t="s">
        <v>285</v>
      </c>
      <c r="C138" s="42" t="s">
        <v>626</v>
      </c>
      <c r="D138" s="105">
        <v>643272576</v>
      </c>
      <c r="E138" s="105">
        <v>2522256131</v>
      </c>
      <c r="F138" s="42" t="s">
        <v>252</v>
      </c>
      <c r="G138" s="84">
        <f>32759+(364+182)</f>
        <v>33305</v>
      </c>
      <c r="H138" s="53" t="str">
        <f>CHOOSE(MONTH(G138),"Jan","Feb","Mar","Apr","May","Jun","Jul","Aug","Sep","Oct","Nov","Dec")</f>
        <v>Mar</v>
      </c>
      <c r="I138" s="54">
        <f ca="1">DATEDIF(G138,TODAY(),"Y")</f>
        <v>25</v>
      </c>
      <c r="J138" s="55"/>
      <c r="K138" s="56">
        <v>36844</v>
      </c>
      <c r="L138" s="57">
        <v>4</v>
      </c>
      <c r="M138" s="62">
        <f>ROUND(K138*P136+K138,0)</f>
        <v>36844</v>
      </c>
      <c r="N138" s="103"/>
      <c r="O138" s="48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</row>
    <row r="139" spans="1:34" s="87" customFormat="1" x14ac:dyDescent="0.25">
      <c r="A139" s="42" t="s">
        <v>643</v>
      </c>
      <c r="B139" s="49" t="s">
        <v>271</v>
      </c>
      <c r="C139" s="42" t="s">
        <v>626</v>
      </c>
      <c r="D139" s="105">
        <v>555025137</v>
      </c>
      <c r="E139" s="105">
        <v>2526565171</v>
      </c>
      <c r="F139" s="42" t="s">
        <v>261</v>
      </c>
      <c r="G139" s="84">
        <f>32773+(364+182)</f>
        <v>33319</v>
      </c>
      <c r="H139" s="53" t="str">
        <f>CHOOSE(MONTH(G139),"Jan","Feb","Mar","Apr","May","Jun","Jul","Aug","Sep","Oct","Nov","Dec")</f>
        <v>Mar</v>
      </c>
      <c r="I139" s="54">
        <f ca="1">DATEDIF(G139,TODAY(),"Y")</f>
        <v>25</v>
      </c>
      <c r="J139" s="55" t="s">
        <v>267</v>
      </c>
      <c r="K139" s="56">
        <v>13090</v>
      </c>
      <c r="L139" s="57">
        <v>4</v>
      </c>
      <c r="M139" s="62">
        <f>ROUND(K139*P137+K139,0)</f>
        <v>13090</v>
      </c>
      <c r="N139" s="103"/>
      <c r="O139" s="48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</row>
    <row r="140" spans="1:34" s="87" customFormat="1" x14ac:dyDescent="0.25">
      <c r="A140" s="42" t="s">
        <v>759</v>
      </c>
      <c r="B140" s="49" t="s">
        <v>271</v>
      </c>
      <c r="C140" s="42" t="s">
        <v>750</v>
      </c>
      <c r="D140" s="105">
        <v>967826310</v>
      </c>
      <c r="E140" s="105">
        <v>9196100410</v>
      </c>
      <c r="F140" s="42" t="s">
        <v>256</v>
      </c>
      <c r="G140" s="84">
        <f>32774+(364+182)</f>
        <v>33320</v>
      </c>
      <c r="H140" s="53" t="str">
        <f>CHOOSE(MONTH(G140),"Jan","Feb","Mar","Apr","May","Jun","Jul","Aug","Sep","Oct","Nov","Dec")</f>
        <v>Mar</v>
      </c>
      <c r="I140" s="54">
        <f ca="1">DATEDIF(G140,TODAY(),"Y")</f>
        <v>25</v>
      </c>
      <c r="J140" s="55" t="s">
        <v>276</v>
      </c>
      <c r="K140" s="56">
        <v>35320</v>
      </c>
      <c r="L140" s="57">
        <v>3</v>
      </c>
      <c r="M140" s="62">
        <f>ROUND(K140*P138+K140,0)</f>
        <v>35320</v>
      </c>
      <c r="N140" s="103"/>
      <c r="O140" s="48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</row>
    <row r="141" spans="1:34" s="87" customFormat="1" x14ac:dyDescent="0.25">
      <c r="A141" s="42" t="s">
        <v>809</v>
      </c>
      <c r="B141" s="49" t="s">
        <v>245</v>
      </c>
      <c r="C141" s="42" t="s">
        <v>767</v>
      </c>
      <c r="D141" s="105">
        <v>378882665</v>
      </c>
      <c r="E141" s="105">
        <v>2526079829</v>
      </c>
      <c r="F141" s="42" t="s">
        <v>261</v>
      </c>
      <c r="G141" s="84">
        <f>33125+(364+182)</f>
        <v>33671</v>
      </c>
      <c r="H141" s="53" t="str">
        <f>CHOOSE(MONTH(G141),"Jan","Feb","Mar","Apr","May","Jun","Jul","Aug","Sep","Oct","Nov","Dec")</f>
        <v>Mar</v>
      </c>
      <c r="I141" s="54">
        <f ca="1">DATEDIF(G141,TODAY(),"Y")</f>
        <v>24</v>
      </c>
      <c r="J141" s="55" t="s">
        <v>257</v>
      </c>
      <c r="K141" s="56">
        <v>46380</v>
      </c>
      <c r="L141" s="57">
        <v>3</v>
      </c>
      <c r="M141" s="62">
        <f>ROUND(K141*P139+K141,0)</f>
        <v>46380</v>
      </c>
      <c r="N141" s="103"/>
      <c r="O141" s="48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</row>
    <row r="142" spans="1:34" s="87" customFormat="1" x14ac:dyDescent="0.25">
      <c r="A142" s="42" t="s">
        <v>349</v>
      </c>
      <c r="B142" s="49" t="s">
        <v>251</v>
      </c>
      <c r="C142" s="42" t="s">
        <v>312</v>
      </c>
      <c r="D142" s="105">
        <v>403504590</v>
      </c>
      <c r="E142" s="105">
        <v>9192400511</v>
      </c>
      <c r="F142" s="42" t="s">
        <v>247</v>
      </c>
      <c r="G142" s="84">
        <f>33132+(364+182)</f>
        <v>33678</v>
      </c>
      <c r="H142" s="53" t="str">
        <f>CHOOSE(MONTH(G142),"Jan","Feb","Mar","Apr","May","Jun","Jul","Aug","Sep","Oct","Nov","Dec")</f>
        <v>Mar</v>
      </c>
      <c r="I142" s="54">
        <f ca="1">DATEDIF(G142,TODAY(),"Y")</f>
        <v>24</v>
      </c>
      <c r="J142" s="55"/>
      <c r="K142" s="56">
        <v>64460</v>
      </c>
      <c r="L142" s="57">
        <v>1</v>
      </c>
      <c r="M142" s="62">
        <f>ROUND(K142*P140+K142,0)</f>
        <v>64460</v>
      </c>
      <c r="N142" s="103"/>
      <c r="O142" s="48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</row>
    <row r="143" spans="1:34" s="87" customFormat="1" x14ac:dyDescent="0.25">
      <c r="A143" s="42" t="s">
        <v>980</v>
      </c>
      <c r="B143" s="49" t="s">
        <v>285</v>
      </c>
      <c r="C143" s="42" t="s">
        <v>930</v>
      </c>
      <c r="D143" s="105">
        <v>283476654</v>
      </c>
      <c r="E143" s="105">
        <v>9197049910</v>
      </c>
      <c r="F143" s="42" t="s">
        <v>256</v>
      </c>
      <c r="G143" s="84">
        <f>33135+(364+182)</f>
        <v>33681</v>
      </c>
      <c r="H143" s="53" t="str">
        <f>CHOOSE(MONTH(G143),"Jan","Feb","Mar","Apr","May","Jun","Jul","Aug","Sep","Oct","Nov","Dec")</f>
        <v>Mar</v>
      </c>
      <c r="I143" s="54">
        <f ca="1">DATEDIF(G143,TODAY(),"Y")</f>
        <v>24</v>
      </c>
      <c r="J143" s="55" t="s">
        <v>262</v>
      </c>
      <c r="K143" s="56">
        <v>46550</v>
      </c>
      <c r="L143" s="57">
        <v>4</v>
      </c>
      <c r="M143" s="62">
        <f>ROUND(K143*P141+K143,0)</f>
        <v>46550</v>
      </c>
      <c r="N143" s="103"/>
      <c r="O143" s="48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</row>
    <row r="144" spans="1:34" s="87" customFormat="1" x14ac:dyDescent="0.25">
      <c r="A144" s="42" t="s">
        <v>876</v>
      </c>
      <c r="B144" s="49" t="s">
        <v>285</v>
      </c>
      <c r="C144" s="42" t="s">
        <v>856</v>
      </c>
      <c r="D144" s="105">
        <v>622200296</v>
      </c>
      <c r="E144" s="105">
        <v>2526306545</v>
      </c>
      <c r="F144" s="42" t="s">
        <v>256</v>
      </c>
      <c r="G144" s="84">
        <f>33139+(364+182)</f>
        <v>33685</v>
      </c>
      <c r="H144" s="53" t="str">
        <f>CHOOSE(MONTH(G144),"Jan","Feb","Mar","Apr","May","Jun","Jul","Aug","Sep","Oct","Nov","Dec")</f>
        <v>Mar</v>
      </c>
      <c r="I144" s="54">
        <f ca="1">DATEDIF(G144,TODAY(),"Y")</f>
        <v>24</v>
      </c>
      <c r="J144" s="55" t="s">
        <v>257</v>
      </c>
      <c r="K144" s="56">
        <v>65571</v>
      </c>
      <c r="L144" s="57">
        <v>3</v>
      </c>
      <c r="M144" s="62">
        <f>ROUND(K144*P142+K144,0)</f>
        <v>65571</v>
      </c>
      <c r="N144" s="103"/>
      <c r="O144" s="48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</row>
    <row r="145" spans="1:34" s="87" customFormat="1" x14ac:dyDescent="0.25">
      <c r="A145" s="42" t="s">
        <v>474</v>
      </c>
      <c r="B145" s="49" t="s">
        <v>251</v>
      </c>
      <c r="C145" s="42" t="s">
        <v>465</v>
      </c>
      <c r="D145" s="105">
        <v>884025623</v>
      </c>
      <c r="E145" s="105">
        <v>2521280865</v>
      </c>
      <c r="F145" s="42" t="s">
        <v>247</v>
      </c>
      <c r="G145" s="84">
        <f>33485+(364+182)</f>
        <v>34031</v>
      </c>
      <c r="H145" s="53" t="str">
        <f>CHOOSE(MONTH(G145),"Jan","Feb","Mar","Apr","May","Jun","Jul","Aug","Sep","Oct","Nov","Dec")</f>
        <v>Mar</v>
      </c>
      <c r="I145" s="54">
        <f ca="1">DATEDIF(G145,TODAY(),"Y")</f>
        <v>23</v>
      </c>
      <c r="J145" s="55"/>
      <c r="K145" s="56">
        <v>64430</v>
      </c>
      <c r="L145" s="57">
        <v>4</v>
      </c>
      <c r="M145" s="62">
        <f>ROUND(K145*P143+K145,0)</f>
        <v>64430</v>
      </c>
      <c r="N145" s="103"/>
      <c r="O145" s="48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</row>
    <row r="146" spans="1:34" s="87" customFormat="1" x14ac:dyDescent="0.25">
      <c r="A146" s="42" t="s">
        <v>638</v>
      </c>
      <c r="B146" s="49" t="s">
        <v>285</v>
      </c>
      <c r="C146" s="42" t="s">
        <v>626</v>
      </c>
      <c r="D146" s="105">
        <v>254201611</v>
      </c>
      <c r="E146" s="105">
        <v>9197803578</v>
      </c>
      <c r="F146" s="42" t="s">
        <v>256</v>
      </c>
      <c r="G146" s="84">
        <f>33488+(364+182)</f>
        <v>34034</v>
      </c>
      <c r="H146" s="53" t="str">
        <f>CHOOSE(MONTH(G146),"Jan","Feb","Mar","Apr","May","Jun","Jul","Aug","Sep","Oct","Nov","Dec")</f>
        <v>Mar</v>
      </c>
      <c r="I146" s="54">
        <f ca="1">DATEDIF(G146,TODAY(),"Y")</f>
        <v>23</v>
      </c>
      <c r="J146" s="55" t="s">
        <v>267</v>
      </c>
      <c r="K146" s="56">
        <v>45180</v>
      </c>
      <c r="L146" s="57">
        <v>5</v>
      </c>
      <c r="M146" s="62">
        <f>ROUND(K146*P144+K146,0)</f>
        <v>45180</v>
      </c>
      <c r="N146" s="103"/>
      <c r="O146" s="48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</row>
    <row r="147" spans="1:34" s="87" customFormat="1" x14ac:dyDescent="0.25">
      <c r="A147" s="42" t="s">
        <v>987</v>
      </c>
      <c r="B147" s="49" t="s">
        <v>271</v>
      </c>
      <c r="C147" s="42" t="s">
        <v>930</v>
      </c>
      <c r="D147" s="105">
        <v>750006979</v>
      </c>
      <c r="E147" s="105">
        <v>2528444054</v>
      </c>
      <c r="F147" s="42" t="s">
        <v>261</v>
      </c>
      <c r="G147" s="84">
        <f>33496+(364+182)</f>
        <v>34042</v>
      </c>
      <c r="H147" s="53" t="str">
        <f>CHOOSE(MONTH(G147),"Jan","Feb","Mar","Apr","May","Jun","Jul","Aug","Sep","Oct","Nov","Dec")</f>
        <v>Mar</v>
      </c>
      <c r="I147" s="54">
        <f ca="1">DATEDIF(G147,TODAY(),"Y")</f>
        <v>23</v>
      </c>
      <c r="J147" s="55" t="s">
        <v>267</v>
      </c>
      <c r="K147" s="56">
        <v>27710</v>
      </c>
      <c r="L147" s="57">
        <v>3</v>
      </c>
      <c r="M147" s="62">
        <f>ROUND(K147*P145+K147,0)</f>
        <v>27710</v>
      </c>
      <c r="N147" s="103"/>
      <c r="O147" s="48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</row>
    <row r="148" spans="1:34" s="87" customFormat="1" x14ac:dyDescent="0.25">
      <c r="A148" s="42" t="s">
        <v>565</v>
      </c>
      <c r="B148" s="49" t="s">
        <v>245</v>
      </c>
      <c r="C148" s="42" t="s">
        <v>465</v>
      </c>
      <c r="D148" s="105">
        <v>138607245</v>
      </c>
      <c r="E148" s="105">
        <v>2522140101</v>
      </c>
      <c r="F148" s="42" t="s">
        <v>247</v>
      </c>
      <c r="G148" s="84">
        <f>33507+(364+182)</f>
        <v>34053</v>
      </c>
      <c r="H148" s="53" t="str">
        <f>CHOOSE(MONTH(G148),"Jan","Feb","Mar","Apr","May","Jun","Jul","Aug","Sep","Oct","Nov","Dec")</f>
        <v>Mar</v>
      </c>
      <c r="I148" s="54">
        <f ca="1">DATEDIF(G148,TODAY(),"Y")</f>
        <v>23</v>
      </c>
      <c r="J148" s="55"/>
      <c r="K148" s="56">
        <v>79220</v>
      </c>
      <c r="L148" s="57">
        <v>4</v>
      </c>
      <c r="M148" s="62">
        <f>ROUND(K148*P146+K148,0)</f>
        <v>79220</v>
      </c>
      <c r="N148" s="103"/>
      <c r="O148" s="48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</row>
    <row r="149" spans="1:34" s="87" customFormat="1" x14ac:dyDescent="0.25">
      <c r="A149" s="42" t="s">
        <v>652</v>
      </c>
      <c r="B149" s="49" t="s">
        <v>266</v>
      </c>
      <c r="C149" s="42" t="s">
        <v>626</v>
      </c>
      <c r="D149" s="105">
        <v>466400098</v>
      </c>
      <c r="E149" s="105">
        <v>2524652136</v>
      </c>
      <c r="F149" s="42" t="s">
        <v>247</v>
      </c>
      <c r="G149" s="84">
        <f>33508+(364+182)</f>
        <v>34054</v>
      </c>
      <c r="H149" s="53" t="str">
        <f>CHOOSE(MONTH(G149),"Jan","Feb","Mar","Apr","May","Jun","Jul","Aug","Sep","Oct","Nov","Dec")</f>
        <v>Mar</v>
      </c>
      <c r="I149" s="54">
        <f ca="1">DATEDIF(G149,TODAY(),"Y")</f>
        <v>23</v>
      </c>
      <c r="J149" s="55"/>
      <c r="K149" s="56">
        <v>29000</v>
      </c>
      <c r="L149" s="57">
        <v>5</v>
      </c>
      <c r="M149" s="62">
        <f>ROUND(K149*P147+K149,0)</f>
        <v>29000</v>
      </c>
      <c r="N149" s="103"/>
      <c r="O149" s="48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</row>
    <row r="150" spans="1:34" s="87" customFormat="1" x14ac:dyDescent="0.25">
      <c r="A150" s="42" t="s">
        <v>463</v>
      </c>
      <c r="B150" s="49" t="s">
        <v>271</v>
      </c>
      <c r="C150" s="42" t="s">
        <v>456</v>
      </c>
      <c r="D150" s="105">
        <v>244171882</v>
      </c>
      <c r="E150" s="105">
        <v>2527577867</v>
      </c>
      <c r="F150" s="42" t="s">
        <v>261</v>
      </c>
      <c r="G150" s="84">
        <f>33855+(364+182)</f>
        <v>34401</v>
      </c>
      <c r="H150" s="53" t="str">
        <f>CHOOSE(MONTH(G150),"Jan","Feb","Mar","Apr","May","Jun","Jul","Aug","Sep","Oct","Nov","Dec")</f>
        <v>Mar</v>
      </c>
      <c r="I150" s="54">
        <f ca="1">DATEDIF(G150,TODAY(),"Y")</f>
        <v>22</v>
      </c>
      <c r="J150" s="55" t="s">
        <v>267</v>
      </c>
      <c r="K150" s="56">
        <v>89780</v>
      </c>
      <c r="L150" s="57">
        <v>4</v>
      </c>
      <c r="M150" s="62">
        <f>ROUND(K150*P148+K150,0)</f>
        <v>89780</v>
      </c>
      <c r="N150" s="103"/>
      <c r="O150" s="48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</row>
    <row r="151" spans="1:34" s="87" customFormat="1" x14ac:dyDescent="0.25">
      <c r="A151" s="42" t="s">
        <v>518</v>
      </c>
      <c r="B151" s="49" t="s">
        <v>271</v>
      </c>
      <c r="C151" s="42" t="s">
        <v>465</v>
      </c>
      <c r="D151" s="105">
        <v>775217609</v>
      </c>
      <c r="E151" s="105">
        <v>9191591006</v>
      </c>
      <c r="F151" s="42" t="s">
        <v>256</v>
      </c>
      <c r="G151" s="84">
        <f>33858+(364+182)</f>
        <v>34404</v>
      </c>
      <c r="H151" s="53" t="str">
        <f>CHOOSE(MONTH(G151),"Jan","Feb","Mar","Apr","May","Jun","Jul","Aug","Sep","Oct","Nov","Dec")</f>
        <v>Mar</v>
      </c>
      <c r="I151" s="54">
        <f ca="1">DATEDIF(G151,TODAY(),"Y")</f>
        <v>22</v>
      </c>
      <c r="J151" s="55" t="s">
        <v>283</v>
      </c>
      <c r="K151" s="56">
        <v>24710</v>
      </c>
      <c r="L151" s="57">
        <v>2</v>
      </c>
      <c r="M151" s="62">
        <f>ROUND(K151*P149+K151,0)</f>
        <v>24710</v>
      </c>
      <c r="N151" s="103"/>
      <c r="O151" s="48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</row>
    <row r="152" spans="1:34" s="87" customFormat="1" x14ac:dyDescent="0.25">
      <c r="A152" s="42" t="s">
        <v>702</v>
      </c>
      <c r="B152" s="49" t="s">
        <v>245</v>
      </c>
      <c r="C152" s="42" t="s">
        <v>700</v>
      </c>
      <c r="D152" s="105">
        <v>425943144</v>
      </c>
      <c r="E152" s="105">
        <v>2522911046</v>
      </c>
      <c r="F152" s="42" t="s">
        <v>247</v>
      </c>
      <c r="G152" s="84">
        <f>33862+(364+182)</f>
        <v>34408</v>
      </c>
      <c r="H152" s="53" t="str">
        <f>CHOOSE(MONTH(G152),"Jan","Feb","Mar","Apr","May","Jun","Jul","Aug","Sep","Oct","Nov","Dec")</f>
        <v>Mar</v>
      </c>
      <c r="I152" s="54">
        <f ca="1">DATEDIF(G152,TODAY(),"Y")</f>
        <v>22</v>
      </c>
      <c r="J152" s="55"/>
      <c r="K152" s="56">
        <v>71700</v>
      </c>
      <c r="L152" s="57">
        <v>2</v>
      </c>
      <c r="M152" s="62">
        <f>ROUND(K152*P150+K152,0)</f>
        <v>71700</v>
      </c>
      <c r="N152" s="103"/>
      <c r="O152" s="48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</row>
    <row r="153" spans="1:34" s="87" customFormat="1" x14ac:dyDescent="0.25">
      <c r="A153" s="42" t="s">
        <v>430</v>
      </c>
      <c r="B153" s="49" t="s">
        <v>245</v>
      </c>
      <c r="C153" s="42" t="s">
        <v>417</v>
      </c>
      <c r="D153" s="105">
        <v>870601943</v>
      </c>
      <c r="E153" s="105">
        <v>9196097340</v>
      </c>
      <c r="F153" s="42" t="s">
        <v>247</v>
      </c>
      <c r="G153" s="84">
        <f>34215+(364+182)</f>
        <v>34761</v>
      </c>
      <c r="H153" s="53" t="str">
        <f>CHOOSE(MONTH(G153),"Jan","Feb","Mar","Apr","May","Jun","Jul","Aug","Sep","Oct","Nov","Dec")</f>
        <v>Mar</v>
      </c>
      <c r="I153" s="54">
        <f ca="1">DATEDIF(G153,TODAY(),"Y")</f>
        <v>21</v>
      </c>
      <c r="J153" s="55"/>
      <c r="K153" s="56">
        <v>45040</v>
      </c>
      <c r="L153" s="57">
        <v>5</v>
      </c>
      <c r="M153" s="62">
        <f>ROUND(K153*P151+K153,0)</f>
        <v>45040</v>
      </c>
      <c r="N153" s="103"/>
      <c r="O153" s="48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</row>
    <row r="154" spans="1:34" s="87" customFormat="1" x14ac:dyDescent="0.25">
      <c r="A154" s="42" t="s">
        <v>453</v>
      </c>
      <c r="B154" s="49" t="s">
        <v>271</v>
      </c>
      <c r="C154" s="42" t="s">
        <v>417</v>
      </c>
      <c r="D154" s="105">
        <v>622274162</v>
      </c>
      <c r="E154" s="105">
        <v>9191264786</v>
      </c>
      <c r="F154" s="42" t="s">
        <v>247</v>
      </c>
      <c r="G154" s="84">
        <f>34225+(364+182)</f>
        <v>34771</v>
      </c>
      <c r="H154" s="53" t="str">
        <f>CHOOSE(MONTH(G154),"Jan","Feb","Mar","Apr","May","Jun","Jul","Aug","Sep","Oct","Nov","Dec")</f>
        <v>Mar</v>
      </c>
      <c r="I154" s="54">
        <f ca="1">DATEDIF(G154,TODAY(),"Y")</f>
        <v>21</v>
      </c>
      <c r="J154" s="55"/>
      <c r="K154" s="56">
        <v>26360</v>
      </c>
      <c r="L154" s="57">
        <v>4</v>
      </c>
      <c r="M154" s="62">
        <f>ROUND(K154*P152+K154,0)</f>
        <v>26360</v>
      </c>
      <c r="N154" s="103"/>
      <c r="O154" s="48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</row>
    <row r="155" spans="1:34" s="87" customFormat="1" x14ac:dyDescent="0.25">
      <c r="A155" s="42" t="s">
        <v>582</v>
      </c>
      <c r="B155" s="49" t="s">
        <v>251</v>
      </c>
      <c r="C155" s="42" t="s">
        <v>465</v>
      </c>
      <c r="D155" s="105">
        <v>944793994</v>
      </c>
      <c r="E155" s="105">
        <v>2525725646</v>
      </c>
      <c r="F155" s="42" t="s">
        <v>256</v>
      </c>
      <c r="G155" s="84">
        <f>34239+(364+182)</f>
        <v>34785</v>
      </c>
      <c r="H155" s="53" t="str">
        <f>CHOOSE(MONTH(G155),"Jan","Feb","Mar","Apr","May","Jun","Jul","Aug","Sep","Oct","Nov","Dec")</f>
        <v>Mar</v>
      </c>
      <c r="I155" s="54">
        <f ca="1">DATEDIF(G155,TODAY(),"Y")</f>
        <v>21</v>
      </c>
      <c r="J155" s="55" t="s">
        <v>257</v>
      </c>
      <c r="K155" s="56">
        <v>24300</v>
      </c>
      <c r="L155" s="57">
        <v>3</v>
      </c>
      <c r="M155" s="62">
        <f>ROUND(K155*P153+K155,0)</f>
        <v>24300</v>
      </c>
      <c r="N155" s="103"/>
      <c r="O155" s="48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</row>
    <row r="156" spans="1:34" s="87" customFormat="1" x14ac:dyDescent="0.25">
      <c r="A156" s="42" t="s">
        <v>740</v>
      </c>
      <c r="B156" s="49" t="s">
        <v>280</v>
      </c>
      <c r="C156" s="42" t="s">
        <v>705</v>
      </c>
      <c r="D156" s="105">
        <v>577239513</v>
      </c>
      <c r="E156" s="105">
        <v>9193199265</v>
      </c>
      <c r="F156" s="42" t="s">
        <v>256</v>
      </c>
      <c r="G156" s="84">
        <f>34587+(364+182)</f>
        <v>35133</v>
      </c>
      <c r="H156" s="53" t="str">
        <f>CHOOSE(MONTH(G156),"Jan","Feb","Mar","Apr","May","Jun","Jul","Aug","Sep","Oct","Nov","Dec")</f>
        <v>Mar</v>
      </c>
      <c r="I156" s="54">
        <f ca="1">DATEDIF(G156,TODAY(),"Y")</f>
        <v>20</v>
      </c>
      <c r="J156" s="55" t="s">
        <v>283</v>
      </c>
      <c r="K156" s="56">
        <v>63080</v>
      </c>
      <c r="L156" s="57">
        <v>5</v>
      </c>
      <c r="M156" s="62">
        <f>ROUND(K156*P154+K156,0)</f>
        <v>63080</v>
      </c>
      <c r="N156" s="103"/>
      <c r="O156" s="48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</row>
    <row r="157" spans="1:34" s="87" customFormat="1" x14ac:dyDescent="0.25">
      <c r="A157" s="42" t="s">
        <v>1000</v>
      </c>
      <c r="B157" s="49" t="s">
        <v>285</v>
      </c>
      <c r="C157" s="42" t="s">
        <v>930</v>
      </c>
      <c r="D157" s="105">
        <v>483483618</v>
      </c>
      <c r="E157" s="105">
        <v>2526459263</v>
      </c>
      <c r="F157" s="42" t="s">
        <v>256</v>
      </c>
      <c r="G157" s="84">
        <f>34591+(364+182)</f>
        <v>35137</v>
      </c>
      <c r="H157" s="53" t="str">
        <f>CHOOSE(MONTH(G157),"Jan","Feb","Mar","Apr","May","Jun","Jul","Aug","Sep","Oct","Nov","Dec")</f>
        <v>Mar</v>
      </c>
      <c r="I157" s="54">
        <f ca="1">DATEDIF(G157,TODAY(),"Y")</f>
        <v>20</v>
      </c>
      <c r="J157" s="55" t="s">
        <v>283</v>
      </c>
      <c r="K157" s="56">
        <v>33590</v>
      </c>
      <c r="L157" s="57">
        <v>5</v>
      </c>
      <c r="M157" s="62">
        <f>ROUND(K157*P155+K157,0)</f>
        <v>33590</v>
      </c>
      <c r="N157" s="103"/>
      <c r="O157" s="48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</row>
    <row r="158" spans="1:34" s="87" customFormat="1" x14ac:dyDescent="0.25">
      <c r="A158" s="42" t="s">
        <v>786</v>
      </c>
      <c r="B158" s="49" t="s">
        <v>285</v>
      </c>
      <c r="C158" s="42" t="s">
        <v>767</v>
      </c>
      <c r="D158" s="105">
        <v>963000861</v>
      </c>
      <c r="E158" s="105">
        <v>2522792063</v>
      </c>
      <c r="F158" s="42" t="s">
        <v>247</v>
      </c>
      <c r="G158" s="84">
        <f>34600+(364+182)</f>
        <v>35146</v>
      </c>
      <c r="H158" s="53" t="str">
        <f>CHOOSE(MONTH(G158),"Jan","Feb","Mar","Apr","May","Jun","Jul","Aug","Sep","Oct","Nov","Dec")</f>
        <v>Mar</v>
      </c>
      <c r="I158" s="54">
        <f ca="1">DATEDIF(G158,TODAY(),"Y")</f>
        <v>20</v>
      </c>
      <c r="J158" s="55"/>
      <c r="K158" s="56">
        <v>73190</v>
      </c>
      <c r="L158" s="57">
        <v>1</v>
      </c>
      <c r="M158" s="62">
        <f>ROUND(K158*P156+K158,0)</f>
        <v>73190</v>
      </c>
      <c r="N158" s="103"/>
      <c r="O158" s="48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</row>
    <row r="159" spans="1:34" s="87" customFormat="1" x14ac:dyDescent="0.25">
      <c r="A159" s="42" t="s">
        <v>406</v>
      </c>
      <c r="B159" s="49" t="s">
        <v>245</v>
      </c>
      <c r="C159" s="42" t="s">
        <v>391</v>
      </c>
      <c r="D159" s="105">
        <v>681596577</v>
      </c>
      <c r="E159" s="105">
        <v>9192387348</v>
      </c>
      <c r="F159" s="42" t="s">
        <v>247</v>
      </c>
      <c r="G159" s="84">
        <f>34604+(364+182)</f>
        <v>35150</v>
      </c>
      <c r="H159" s="53" t="str">
        <f>CHOOSE(MONTH(G159),"Jan","Feb","Mar","Apr","May","Jun","Jul","Aug","Sep","Oct","Nov","Dec")</f>
        <v>Mar</v>
      </c>
      <c r="I159" s="54">
        <f ca="1">DATEDIF(G159,TODAY(),"Y")</f>
        <v>20</v>
      </c>
      <c r="J159" s="55"/>
      <c r="K159" s="56">
        <v>35260</v>
      </c>
      <c r="L159" s="57">
        <v>2</v>
      </c>
      <c r="M159" s="62">
        <f>ROUND(K159*P157+K159,0)</f>
        <v>35260</v>
      </c>
      <c r="N159" s="103"/>
      <c r="O159" s="48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</row>
    <row r="160" spans="1:34" s="87" customFormat="1" x14ac:dyDescent="0.25">
      <c r="A160" s="42" t="s">
        <v>680</v>
      </c>
      <c r="B160" s="49" t="s">
        <v>280</v>
      </c>
      <c r="C160" s="42" t="s">
        <v>678</v>
      </c>
      <c r="D160" s="105">
        <v>303641529</v>
      </c>
      <c r="E160" s="105">
        <v>9196753698</v>
      </c>
      <c r="F160" s="42" t="s">
        <v>261</v>
      </c>
      <c r="G160" s="84">
        <f>34604+(364+182)</f>
        <v>35150</v>
      </c>
      <c r="H160" s="53" t="str">
        <f>CHOOSE(MONTH(G160),"Jan","Feb","Mar","Apr","May","Jun","Jul","Aug","Sep","Oct","Nov","Dec")</f>
        <v>Mar</v>
      </c>
      <c r="I160" s="54">
        <f ca="1">DATEDIF(G160,TODAY(),"Y")</f>
        <v>20</v>
      </c>
      <c r="J160" s="55" t="s">
        <v>257</v>
      </c>
      <c r="K160" s="56">
        <v>49405</v>
      </c>
      <c r="L160" s="57">
        <v>4</v>
      </c>
      <c r="M160" s="62">
        <f>ROUND(K160*P158+K160,0)</f>
        <v>49405</v>
      </c>
      <c r="N160" s="103"/>
      <c r="O160" s="48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</row>
    <row r="161" spans="1:34" s="87" customFormat="1" x14ac:dyDescent="0.25">
      <c r="A161" s="42" t="s">
        <v>773</v>
      </c>
      <c r="B161" s="49" t="s">
        <v>245</v>
      </c>
      <c r="C161" s="42" t="s">
        <v>767</v>
      </c>
      <c r="D161" s="105">
        <v>991221095</v>
      </c>
      <c r="E161" s="105">
        <v>9194630903</v>
      </c>
      <c r="F161" s="42" t="s">
        <v>256</v>
      </c>
      <c r="G161" s="84">
        <f>34605+(364+182)</f>
        <v>35151</v>
      </c>
      <c r="H161" s="53" t="str">
        <f>CHOOSE(MONTH(G161),"Jan","Feb","Mar","Apr","May","Jun","Jul","Aug","Sep","Oct","Nov","Dec")</f>
        <v>Mar</v>
      </c>
      <c r="I161" s="54">
        <f ca="1">DATEDIF(G161,TODAY(),"Y")</f>
        <v>20</v>
      </c>
      <c r="J161" s="55" t="s">
        <v>276</v>
      </c>
      <c r="K161" s="56">
        <v>29760</v>
      </c>
      <c r="L161" s="57">
        <v>2</v>
      </c>
      <c r="M161" s="62">
        <f>ROUND(K161*P159+K161,0)</f>
        <v>29760</v>
      </c>
      <c r="N161" s="103"/>
      <c r="O161" s="48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</row>
    <row r="162" spans="1:34" s="87" customFormat="1" x14ac:dyDescent="0.25">
      <c r="A162" s="42" t="s">
        <v>595</v>
      </c>
      <c r="B162" s="49" t="s">
        <v>245</v>
      </c>
      <c r="C162" s="42" t="s">
        <v>465</v>
      </c>
      <c r="D162" s="105">
        <v>313128501</v>
      </c>
      <c r="E162" s="105">
        <v>9193184277</v>
      </c>
      <c r="F162" s="42" t="s">
        <v>252</v>
      </c>
      <c r="G162" s="84">
        <f>34944+(364+182)</f>
        <v>35490</v>
      </c>
      <c r="H162" s="53" t="str">
        <f>CHOOSE(MONTH(G162),"Jan","Feb","Mar","Apr","May","Jun","Jul","Aug","Sep","Oct","Nov","Dec")</f>
        <v>Mar</v>
      </c>
      <c r="I162" s="54">
        <f ca="1">DATEDIF(G162,TODAY(),"Y")</f>
        <v>19</v>
      </c>
      <c r="J162" s="55"/>
      <c r="K162" s="56">
        <v>22472</v>
      </c>
      <c r="L162" s="57">
        <v>1</v>
      </c>
      <c r="M162" s="62">
        <f>ROUND(K162*P160+K162,0)</f>
        <v>22472</v>
      </c>
      <c r="N162" s="103"/>
      <c r="O162" s="48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</row>
    <row r="163" spans="1:34" s="87" customFormat="1" x14ac:dyDescent="0.25">
      <c r="A163" s="42" t="s">
        <v>865</v>
      </c>
      <c r="B163" s="49" t="s">
        <v>285</v>
      </c>
      <c r="C163" s="42" t="s">
        <v>856</v>
      </c>
      <c r="D163" s="105">
        <v>110726520</v>
      </c>
      <c r="E163" s="105">
        <v>9197963782</v>
      </c>
      <c r="F163" s="42" t="s">
        <v>256</v>
      </c>
      <c r="G163" s="84">
        <f>34951+(364+182)</f>
        <v>35497</v>
      </c>
      <c r="H163" s="53" t="str">
        <f>CHOOSE(MONTH(G163),"Jan","Feb","Mar","Apr","May","Jun","Jul","Aug","Sep","Oct","Nov","Dec")</f>
        <v>Mar</v>
      </c>
      <c r="I163" s="54">
        <f ca="1">DATEDIF(G163,TODAY(),"Y")</f>
        <v>19</v>
      </c>
      <c r="J163" s="55" t="s">
        <v>257</v>
      </c>
      <c r="K163" s="56">
        <v>78710</v>
      </c>
      <c r="L163" s="57">
        <v>4</v>
      </c>
      <c r="M163" s="62">
        <f>ROUND(K163*P161+K163,0)</f>
        <v>78710</v>
      </c>
      <c r="N163" s="103"/>
      <c r="O163" s="48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</row>
    <row r="164" spans="1:34" s="87" customFormat="1" x14ac:dyDescent="0.25">
      <c r="A164" s="42" t="s">
        <v>447</v>
      </c>
      <c r="B164" s="49" t="s">
        <v>285</v>
      </c>
      <c r="C164" s="42" t="s">
        <v>417</v>
      </c>
      <c r="D164" s="105">
        <v>659766304</v>
      </c>
      <c r="E164" s="105">
        <v>9195876028</v>
      </c>
      <c r="F164" s="42" t="s">
        <v>256</v>
      </c>
      <c r="G164" s="84">
        <f>34955+(364+182)</f>
        <v>35501</v>
      </c>
      <c r="H164" s="53" t="str">
        <f>CHOOSE(MONTH(G164),"Jan","Feb","Mar","Apr","May","Jun","Jul","Aug","Sep","Oct","Nov","Dec")</f>
        <v>Mar</v>
      </c>
      <c r="I164" s="54">
        <f ca="1">DATEDIF(G164,TODAY(),"Y")</f>
        <v>19</v>
      </c>
      <c r="J164" s="55" t="s">
        <v>283</v>
      </c>
      <c r="K164" s="56">
        <v>37750</v>
      </c>
      <c r="L164" s="57">
        <v>5</v>
      </c>
      <c r="M164" s="62">
        <f>ROUND(K164*P162+K164,0)</f>
        <v>37750</v>
      </c>
      <c r="N164" s="103"/>
      <c r="O164" s="48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</row>
    <row r="165" spans="1:34" s="87" customFormat="1" x14ac:dyDescent="0.25">
      <c r="A165" s="42" t="s">
        <v>353</v>
      </c>
      <c r="B165" s="49" t="s">
        <v>271</v>
      </c>
      <c r="C165" s="42" t="s">
        <v>312</v>
      </c>
      <c r="D165" s="105">
        <v>627678686</v>
      </c>
      <c r="E165" s="105">
        <v>2526101454</v>
      </c>
      <c r="F165" s="42" t="s">
        <v>247</v>
      </c>
      <c r="G165" s="84">
        <f>34959+(364+182)</f>
        <v>35505</v>
      </c>
      <c r="H165" s="53" t="str">
        <f>CHOOSE(MONTH(G165),"Jan","Feb","Mar","Apr","May","Jun","Jul","Aug","Sep","Oct","Nov","Dec")</f>
        <v>Mar</v>
      </c>
      <c r="I165" s="54">
        <f ca="1">DATEDIF(G165,TODAY(),"Y")</f>
        <v>19</v>
      </c>
      <c r="J165" s="55"/>
      <c r="K165" s="56">
        <v>74740</v>
      </c>
      <c r="L165" s="57">
        <v>5</v>
      </c>
      <c r="M165" s="62">
        <f>ROUND(K165*P163+K165,0)</f>
        <v>74740</v>
      </c>
      <c r="N165" s="103"/>
      <c r="O165" s="48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</row>
    <row r="166" spans="1:34" s="87" customFormat="1" x14ac:dyDescent="0.25">
      <c r="A166" s="42" t="s">
        <v>477</v>
      </c>
      <c r="B166" s="49" t="s">
        <v>245</v>
      </c>
      <c r="C166" s="42" t="s">
        <v>465</v>
      </c>
      <c r="D166" s="105">
        <v>612295735</v>
      </c>
      <c r="E166" s="105">
        <v>9195228292</v>
      </c>
      <c r="F166" s="42" t="s">
        <v>256</v>
      </c>
      <c r="G166" s="84">
        <f>34965+(364+182)</f>
        <v>35511</v>
      </c>
      <c r="H166" s="53" t="str">
        <f>CHOOSE(MONTH(G166),"Jan","Feb","Mar","Apr","May","Jun","Jul","Aug","Sep","Oct","Nov","Dec")</f>
        <v>Mar</v>
      </c>
      <c r="I166" s="54">
        <f ca="1">DATEDIF(G166,TODAY(),"Y")</f>
        <v>19</v>
      </c>
      <c r="J166" s="55" t="s">
        <v>283</v>
      </c>
      <c r="K166" s="56">
        <v>73144</v>
      </c>
      <c r="L166" s="57">
        <v>5</v>
      </c>
      <c r="M166" s="62">
        <f>ROUND(K166*P164+K166,0)</f>
        <v>73144</v>
      </c>
      <c r="N166" s="103"/>
      <c r="O166" s="48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</row>
    <row r="167" spans="1:34" s="87" customFormat="1" x14ac:dyDescent="0.25">
      <c r="A167" s="42" t="s">
        <v>386</v>
      </c>
      <c r="B167" s="49" t="s">
        <v>266</v>
      </c>
      <c r="C167" s="42" t="s">
        <v>381</v>
      </c>
      <c r="D167" s="105">
        <v>452692136</v>
      </c>
      <c r="E167" s="105">
        <v>2524106437</v>
      </c>
      <c r="F167" s="42" t="s">
        <v>256</v>
      </c>
      <c r="G167" s="84">
        <f>34968+(364+182)</f>
        <v>35514</v>
      </c>
      <c r="H167" s="53" t="str">
        <f>CHOOSE(MONTH(G167),"Jan","Feb","Mar","Apr","May","Jun","Jul","Aug","Sep","Oct","Nov","Dec")</f>
        <v>Mar</v>
      </c>
      <c r="I167" s="54">
        <f ca="1">DATEDIF(G167,TODAY(),"Y")</f>
        <v>19</v>
      </c>
      <c r="J167" s="55" t="s">
        <v>267</v>
      </c>
      <c r="K167" s="56">
        <v>26510</v>
      </c>
      <c r="L167" s="57">
        <v>1</v>
      </c>
      <c r="M167" s="62">
        <f>ROUND(K167*P165+K167,0)</f>
        <v>26510</v>
      </c>
      <c r="N167" s="103"/>
      <c r="O167" s="48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</row>
    <row r="168" spans="1:34" s="87" customFormat="1" x14ac:dyDescent="0.25">
      <c r="A168" s="42" t="s">
        <v>346</v>
      </c>
      <c r="B168" s="49" t="s">
        <v>245</v>
      </c>
      <c r="C168" s="42" t="s">
        <v>312</v>
      </c>
      <c r="D168" s="105">
        <v>936730279</v>
      </c>
      <c r="E168" s="105">
        <v>2528033253</v>
      </c>
      <c r="F168" s="42" t="s">
        <v>261</v>
      </c>
      <c r="G168" s="84">
        <f>34971+(364+182)</f>
        <v>35517</v>
      </c>
      <c r="H168" s="53" t="str">
        <f>CHOOSE(MONTH(G168),"Jan","Feb","Mar","Apr","May","Jun","Jul","Aug","Sep","Oct","Nov","Dec")</f>
        <v>Mar</v>
      </c>
      <c r="I168" s="54">
        <f ca="1">DATEDIF(G168,TODAY(),"Y")</f>
        <v>19</v>
      </c>
      <c r="J168" s="55" t="s">
        <v>267</v>
      </c>
      <c r="K168" s="56">
        <v>48415</v>
      </c>
      <c r="L168" s="57">
        <v>4</v>
      </c>
      <c r="M168" s="62">
        <f>ROUND(K168*P166+K168,0)</f>
        <v>48415</v>
      </c>
      <c r="N168" s="103"/>
      <c r="O168" s="48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</row>
    <row r="169" spans="1:34" s="87" customFormat="1" x14ac:dyDescent="0.25">
      <c r="A169" s="42" t="s">
        <v>671</v>
      </c>
      <c r="B169" s="49" t="s">
        <v>266</v>
      </c>
      <c r="C169" s="42" t="s">
        <v>626</v>
      </c>
      <c r="D169" s="105">
        <v>650784238</v>
      </c>
      <c r="E169" s="105">
        <v>9194679864</v>
      </c>
      <c r="F169" s="42" t="s">
        <v>247</v>
      </c>
      <c r="G169" s="84">
        <f>34972+(364+182)</f>
        <v>35518</v>
      </c>
      <c r="H169" s="53" t="str">
        <f>CHOOSE(MONTH(G169),"Jan","Feb","Mar","Apr","May","Jun","Jul","Aug","Sep","Oct","Nov","Dec")</f>
        <v>Mar</v>
      </c>
      <c r="I169" s="54">
        <f ca="1">DATEDIF(G169,TODAY(),"Y")</f>
        <v>19</v>
      </c>
      <c r="J169" s="55"/>
      <c r="K169" s="56">
        <v>53870</v>
      </c>
      <c r="L169" s="57">
        <v>2</v>
      </c>
      <c r="M169" s="62">
        <f>ROUND(K169*P167+K169,0)</f>
        <v>53870</v>
      </c>
      <c r="N169" s="103"/>
      <c r="O169" s="48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</row>
    <row r="170" spans="1:34" s="87" customFormat="1" x14ac:dyDescent="0.25">
      <c r="A170" s="42" t="s">
        <v>977</v>
      </c>
      <c r="B170" s="49" t="s">
        <v>245</v>
      </c>
      <c r="C170" s="42" t="s">
        <v>930</v>
      </c>
      <c r="D170" s="105">
        <v>262585858</v>
      </c>
      <c r="E170" s="105">
        <v>2528566597</v>
      </c>
      <c r="F170" s="42" t="s">
        <v>261</v>
      </c>
      <c r="G170" s="84">
        <f>34972+(364+182)</f>
        <v>35518</v>
      </c>
      <c r="H170" s="53" t="str">
        <f>CHOOSE(MONTH(G170),"Jan","Feb","Mar","Apr","May","Jun","Jul","Aug","Sep","Oct","Nov","Dec")</f>
        <v>Mar</v>
      </c>
      <c r="I170" s="54">
        <f ca="1">DATEDIF(G170,TODAY(),"Y")</f>
        <v>19</v>
      </c>
      <c r="J170" s="55" t="s">
        <v>262</v>
      </c>
      <c r="K170" s="56">
        <v>13690</v>
      </c>
      <c r="L170" s="57">
        <v>5</v>
      </c>
      <c r="M170" s="62">
        <f>ROUND(K170*P168+K170,0)</f>
        <v>13690</v>
      </c>
      <c r="N170" s="103"/>
      <c r="O170" s="48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</row>
    <row r="171" spans="1:34" s="87" customFormat="1" x14ac:dyDescent="0.25">
      <c r="A171" s="42" t="s">
        <v>464</v>
      </c>
      <c r="B171" s="49" t="s">
        <v>271</v>
      </c>
      <c r="C171" s="42" t="s">
        <v>465</v>
      </c>
      <c r="D171" s="105">
        <v>501523688</v>
      </c>
      <c r="E171" s="105">
        <v>2528560698</v>
      </c>
      <c r="F171" s="42" t="s">
        <v>256</v>
      </c>
      <c r="G171" s="84">
        <f>34974+(364+182)</f>
        <v>35520</v>
      </c>
      <c r="H171" s="53" t="str">
        <f>CHOOSE(MONTH(G171),"Jan","Feb","Mar","Apr","May","Jun","Jul","Aug","Sep","Oct","Nov","Dec")</f>
        <v>Mar</v>
      </c>
      <c r="I171" s="54">
        <f ca="1">DATEDIF(G171,TODAY(),"Y")</f>
        <v>19</v>
      </c>
      <c r="J171" s="55" t="s">
        <v>257</v>
      </c>
      <c r="K171" s="56">
        <v>79730</v>
      </c>
      <c r="L171" s="57">
        <v>2</v>
      </c>
      <c r="M171" s="62">
        <f>ROUND(K171*P169+K171,0)</f>
        <v>79730</v>
      </c>
      <c r="N171" s="103"/>
      <c r="O171" s="48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</row>
    <row r="172" spans="1:34" s="87" customFormat="1" x14ac:dyDescent="0.25">
      <c r="A172" s="42" t="s">
        <v>660</v>
      </c>
      <c r="B172" s="49" t="s">
        <v>245</v>
      </c>
      <c r="C172" s="42" t="s">
        <v>626</v>
      </c>
      <c r="D172" s="105">
        <v>261920277</v>
      </c>
      <c r="E172" s="105">
        <v>2524272773</v>
      </c>
      <c r="F172" s="42" t="s">
        <v>256</v>
      </c>
      <c r="G172" s="84">
        <f>35310+(364+182)</f>
        <v>35856</v>
      </c>
      <c r="H172" s="53" t="str">
        <f>CHOOSE(MONTH(G172),"Jan","Feb","Mar","Apr","May","Jun","Jul","Aug","Sep","Oct","Nov","Dec")</f>
        <v>Mar</v>
      </c>
      <c r="I172" s="54">
        <f ca="1">DATEDIF(G172,TODAY(),"Y")</f>
        <v>18</v>
      </c>
      <c r="J172" s="55" t="s">
        <v>276</v>
      </c>
      <c r="K172" s="56">
        <v>86830</v>
      </c>
      <c r="L172" s="57">
        <v>3</v>
      </c>
      <c r="M172" s="62">
        <f>ROUND(K172*P170+K172,0)</f>
        <v>86830</v>
      </c>
      <c r="N172" s="103"/>
      <c r="O172" s="48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</row>
    <row r="173" spans="1:34" s="87" customFormat="1" x14ac:dyDescent="0.25">
      <c r="A173" s="42" t="s">
        <v>635</v>
      </c>
      <c r="B173" s="49" t="s">
        <v>271</v>
      </c>
      <c r="C173" s="42" t="s">
        <v>626</v>
      </c>
      <c r="D173" s="105">
        <v>597641409</v>
      </c>
      <c r="E173" s="105">
        <v>9196201509</v>
      </c>
      <c r="F173" s="42" t="s">
        <v>256</v>
      </c>
      <c r="G173" s="84">
        <f>35311+(364+182)</f>
        <v>35857</v>
      </c>
      <c r="H173" s="53" t="str">
        <f>CHOOSE(MONTH(G173),"Jan","Feb","Mar","Apr","May","Jun","Jul","Aug","Sep","Oct","Nov","Dec")</f>
        <v>Mar</v>
      </c>
      <c r="I173" s="54">
        <f ca="1">DATEDIF(G173,TODAY(),"Y")</f>
        <v>18</v>
      </c>
      <c r="J173" s="55" t="s">
        <v>283</v>
      </c>
      <c r="K173" s="56">
        <v>82110</v>
      </c>
      <c r="L173" s="57">
        <v>3</v>
      </c>
      <c r="M173" s="62">
        <f>ROUND(K173*P171+K173,0)</f>
        <v>82110</v>
      </c>
      <c r="N173" s="103"/>
      <c r="O173" s="48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</row>
    <row r="174" spans="1:34" s="87" customFormat="1" x14ac:dyDescent="0.25">
      <c r="A174" s="42" t="s">
        <v>863</v>
      </c>
      <c r="B174" s="49" t="s">
        <v>271</v>
      </c>
      <c r="C174" s="42" t="s">
        <v>856</v>
      </c>
      <c r="D174" s="105">
        <v>843632637</v>
      </c>
      <c r="E174" s="105">
        <v>9198545681</v>
      </c>
      <c r="F174" s="42" t="s">
        <v>252</v>
      </c>
      <c r="G174" s="84">
        <f>35315+(364+182)</f>
        <v>35861</v>
      </c>
      <c r="H174" s="53" t="str">
        <f>CHOOSE(MONTH(G174),"Jan","Feb","Mar","Apr","May","Jun","Jul","Aug","Sep","Oct","Nov","Dec")</f>
        <v>Mar</v>
      </c>
      <c r="I174" s="54">
        <f ca="1">DATEDIF(G174,TODAY(),"Y")</f>
        <v>18</v>
      </c>
      <c r="J174" s="55"/>
      <c r="K174" s="56">
        <v>12836</v>
      </c>
      <c r="L174" s="57">
        <v>5</v>
      </c>
      <c r="M174" s="62">
        <f>ROUND(K174*P172+K174,0)</f>
        <v>12836</v>
      </c>
      <c r="N174" s="103"/>
      <c r="O174" s="48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</row>
    <row r="175" spans="1:34" s="87" customFormat="1" x14ac:dyDescent="0.25">
      <c r="A175" s="42" t="s">
        <v>921</v>
      </c>
      <c r="B175" s="49" t="s">
        <v>245</v>
      </c>
      <c r="C175" s="42" t="s">
        <v>856</v>
      </c>
      <c r="D175" s="105">
        <v>518009092</v>
      </c>
      <c r="E175" s="105">
        <v>2528792521</v>
      </c>
      <c r="F175" s="42" t="s">
        <v>252</v>
      </c>
      <c r="G175" s="84">
        <f>35323+(364+182)</f>
        <v>35869</v>
      </c>
      <c r="H175" s="53" t="str">
        <f>CHOOSE(MONTH(G175),"Jan","Feb","Mar","Apr","May","Jun","Jul","Aug","Sep","Oct","Nov","Dec")</f>
        <v>Mar</v>
      </c>
      <c r="I175" s="54">
        <f ca="1">DATEDIF(G175,TODAY(),"Y")</f>
        <v>18</v>
      </c>
      <c r="J175" s="55"/>
      <c r="K175" s="56">
        <v>17912</v>
      </c>
      <c r="L175" s="57">
        <v>5</v>
      </c>
      <c r="M175" s="62">
        <f>ROUND(K175*P173+K175,0)</f>
        <v>17912</v>
      </c>
      <c r="N175" s="103"/>
      <c r="O175" s="48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</row>
    <row r="176" spans="1:34" s="87" customFormat="1" x14ac:dyDescent="0.25">
      <c r="A176" s="42" t="s">
        <v>996</v>
      </c>
      <c r="B176" s="49" t="s">
        <v>280</v>
      </c>
      <c r="C176" s="42" t="s">
        <v>930</v>
      </c>
      <c r="D176" s="105">
        <v>311309049</v>
      </c>
      <c r="E176" s="105">
        <v>2527560634</v>
      </c>
      <c r="F176" s="42" t="s">
        <v>256</v>
      </c>
      <c r="G176" s="84">
        <f>35697+(364+182)</f>
        <v>36243</v>
      </c>
      <c r="H176" s="53" t="str">
        <f>CHOOSE(MONTH(G176),"Jan","Feb","Mar","Apr","May","Jun","Jul","Aug","Sep","Oct","Nov","Dec")</f>
        <v>Mar</v>
      </c>
      <c r="I176" s="54">
        <f ca="1">DATEDIF(G176,TODAY(),"Y")</f>
        <v>17</v>
      </c>
      <c r="J176" s="55" t="s">
        <v>276</v>
      </c>
      <c r="K176" s="56">
        <v>77680</v>
      </c>
      <c r="L176" s="57">
        <v>3</v>
      </c>
      <c r="M176" s="62">
        <f>ROUND(K176*P174+K176,0)</f>
        <v>77680</v>
      </c>
      <c r="N176" s="103"/>
      <c r="O176" s="48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</row>
    <row r="177" spans="1:34" s="87" customFormat="1" x14ac:dyDescent="0.25">
      <c r="A177" s="42" t="s">
        <v>917</v>
      </c>
      <c r="B177" s="49" t="s">
        <v>285</v>
      </c>
      <c r="C177" s="42" t="s">
        <v>856</v>
      </c>
      <c r="D177" s="105">
        <v>125540405</v>
      </c>
      <c r="E177" s="105">
        <v>2524589262</v>
      </c>
      <c r="F177" s="42" t="s">
        <v>256</v>
      </c>
      <c r="G177" s="84">
        <f>35699+(364+182)</f>
        <v>36245</v>
      </c>
      <c r="H177" s="53" t="str">
        <f>CHOOSE(MONTH(G177),"Jan","Feb","Mar","Apr","May","Jun","Jul","Aug","Sep","Oct","Nov","Dec")</f>
        <v>Mar</v>
      </c>
      <c r="I177" s="54">
        <f ca="1">DATEDIF(G177,TODAY(),"Y")</f>
        <v>17</v>
      </c>
      <c r="J177" s="55" t="s">
        <v>257</v>
      </c>
      <c r="K177" s="56">
        <v>58410</v>
      </c>
      <c r="L177" s="57">
        <v>5</v>
      </c>
      <c r="M177" s="62">
        <f>ROUND(K177*P175+K177,0)</f>
        <v>58410</v>
      </c>
      <c r="N177" s="103"/>
      <c r="O177" s="48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</row>
    <row r="178" spans="1:34" s="87" customFormat="1" x14ac:dyDescent="0.25">
      <c r="A178" s="42" t="s">
        <v>382</v>
      </c>
      <c r="B178" s="49" t="s">
        <v>271</v>
      </c>
      <c r="C178" s="42" t="s">
        <v>381</v>
      </c>
      <c r="D178" s="105">
        <v>925049144</v>
      </c>
      <c r="E178" s="105">
        <v>2524752921</v>
      </c>
      <c r="F178" s="42" t="s">
        <v>256</v>
      </c>
      <c r="G178" s="84">
        <f>35703+(364+182)</f>
        <v>36249</v>
      </c>
      <c r="H178" s="53" t="str">
        <f>CHOOSE(MONTH(G178),"Jan","Feb","Mar","Apr","May","Jun","Jul","Aug","Sep","Oct","Nov","Dec")</f>
        <v>Mar</v>
      </c>
      <c r="I178" s="54">
        <f ca="1">DATEDIF(G178,TODAY(),"Y")</f>
        <v>17</v>
      </c>
      <c r="J178" s="55" t="s">
        <v>257</v>
      </c>
      <c r="K178" s="56">
        <v>49860</v>
      </c>
      <c r="L178" s="57">
        <v>2</v>
      </c>
      <c r="M178" s="62">
        <f>ROUND(K178*P176+K178,0)</f>
        <v>49860</v>
      </c>
      <c r="N178" s="103"/>
      <c r="O178" s="48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</row>
    <row r="179" spans="1:34" s="87" customFormat="1" x14ac:dyDescent="0.25">
      <c r="A179" s="42" t="s">
        <v>494</v>
      </c>
      <c r="B179" s="49" t="s">
        <v>280</v>
      </c>
      <c r="C179" s="42" t="s">
        <v>465</v>
      </c>
      <c r="D179" s="105">
        <v>396727504</v>
      </c>
      <c r="E179" s="105">
        <v>9193204992</v>
      </c>
      <c r="F179" s="42" t="s">
        <v>247</v>
      </c>
      <c r="G179" s="84">
        <f>36054+(364+182)</f>
        <v>36600</v>
      </c>
      <c r="H179" s="53" t="str">
        <f>CHOOSE(MONTH(G179),"Jan","Feb","Mar","Apr","May","Jun","Jul","Aug","Sep","Oct","Nov","Dec")</f>
        <v>Mar</v>
      </c>
      <c r="I179" s="54">
        <f ca="1">DATEDIF(G179,TODAY(),"Y")</f>
        <v>16</v>
      </c>
      <c r="J179" s="55"/>
      <c r="K179" s="56">
        <v>41840</v>
      </c>
      <c r="L179" s="57">
        <v>2</v>
      </c>
      <c r="M179" s="62">
        <f>ROUND(K179*P177+K179,0)</f>
        <v>41840</v>
      </c>
      <c r="N179" s="103"/>
      <c r="O179" s="48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</row>
    <row r="180" spans="1:34" s="87" customFormat="1" x14ac:dyDescent="0.25">
      <c r="A180" s="42" t="s">
        <v>338</v>
      </c>
      <c r="B180" s="49" t="s">
        <v>285</v>
      </c>
      <c r="C180" s="42" t="s">
        <v>312</v>
      </c>
      <c r="D180" s="105">
        <v>856215418</v>
      </c>
      <c r="E180" s="105">
        <v>2526168483</v>
      </c>
      <c r="F180" s="42" t="s">
        <v>252</v>
      </c>
      <c r="G180" s="84">
        <f>36056+(364+182)</f>
        <v>36602</v>
      </c>
      <c r="H180" s="53" t="str">
        <f>CHOOSE(MONTH(G180),"Jan","Feb","Mar","Apr","May","Jun","Jul","Aug","Sep","Oct","Nov","Dec")</f>
        <v>Mar</v>
      </c>
      <c r="I180" s="54">
        <f ca="1">DATEDIF(G180,TODAY(),"Y")</f>
        <v>16</v>
      </c>
      <c r="J180" s="55"/>
      <c r="K180" s="56">
        <v>30080</v>
      </c>
      <c r="L180" s="57">
        <v>3</v>
      </c>
      <c r="M180" s="62">
        <f>ROUND(K180*P178+K180,0)</f>
        <v>30080</v>
      </c>
      <c r="N180" s="103"/>
      <c r="O180" s="48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</row>
    <row r="181" spans="1:34" s="87" customFormat="1" x14ac:dyDescent="0.25">
      <c r="A181" s="42" t="s">
        <v>476</v>
      </c>
      <c r="B181" s="49" t="s">
        <v>285</v>
      </c>
      <c r="C181" s="42" t="s">
        <v>465</v>
      </c>
      <c r="D181" s="105">
        <v>356242235</v>
      </c>
      <c r="E181" s="105">
        <v>2521667727</v>
      </c>
      <c r="F181" s="42" t="s">
        <v>261</v>
      </c>
      <c r="G181" s="84">
        <f>36058+(364+182)</f>
        <v>36604</v>
      </c>
      <c r="H181" s="53" t="str">
        <f>CHOOSE(MONTH(G181),"Jan","Feb","Mar","Apr","May","Jun","Jul","Aug","Sep","Oct","Nov","Dec")</f>
        <v>Mar</v>
      </c>
      <c r="I181" s="54">
        <f ca="1">DATEDIF(G181,TODAY(),"Y")</f>
        <v>16</v>
      </c>
      <c r="J181" s="55" t="s">
        <v>283</v>
      </c>
      <c r="K181" s="56">
        <v>46710</v>
      </c>
      <c r="L181" s="57">
        <v>3</v>
      </c>
      <c r="M181" s="62">
        <f>ROUND(K181*P179+K181,0)</f>
        <v>46710</v>
      </c>
      <c r="N181" s="103"/>
      <c r="O181" s="48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</row>
    <row r="182" spans="1:34" s="87" customFormat="1" x14ac:dyDescent="0.25">
      <c r="A182" s="42" t="s">
        <v>945</v>
      </c>
      <c r="B182" s="49" t="s">
        <v>285</v>
      </c>
      <c r="C182" s="42" t="s">
        <v>930</v>
      </c>
      <c r="D182" s="105">
        <v>800685434</v>
      </c>
      <c r="E182" s="105">
        <v>2525821616</v>
      </c>
      <c r="F182" s="42" t="s">
        <v>256</v>
      </c>
      <c r="G182" s="84">
        <f>36410+(364+182)</f>
        <v>36956</v>
      </c>
      <c r="H182" s="53" t="str">
        <f>CHOOSE(MONTH(G182),"Jan","Feb","Mar","Apr","May","Jun","Jul","Aug","Sep","Oct","Nov","Dec")</f>
        <v>Mar</v>
      </c>
      <c r="I182" s="54">
        <f ca="1">DATEDIF(G182,TODAY(),"Y")</f>
        <v>15</v>
      </c>
      <c r="J182" s="55" t="s">
        <v>276</v>
      </c>
      <c r="K182" s="56">
        <v>49930</v>
      </c>
      <c r="L182" s="57">
        <v>1</v>
      </c>
      <c r="M182" s="62">
        <f>ROUND(K182*P180+K182,0)</f>
        <v>49930</v>
      </c>
      <c r="N182" s="103"/>
      <c r="O182" s="48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</row>
    <row r="183" spans="1:34" s="87" customFormat="1" x14ac:dyDescent="0.25">
      <c r="A183" s="42" t="s">
        <v>958</v>
      </c>
      <c r="B183" s="49" t="s">
        <v>285</v>
      </c>
      <c r="C183" s="42" t="s">
        <v>930</v>
      </c>
      <c r="D183" s="105">
        <v>212558012</v>
      </c>
      <c r="E183" s="105">
        <v>2526860208</v>
      </c>
      <c r="F183" s="42" t="s">
        <v>256</v>
      </c>
      <c r="G183" s="84">
        <f>36421+(364+182)</f>
        <v>36967</v>
      </c>
      <c r="H183" s="53" t="str">
        <f>CHOOSE(MONTH(G183),"Jan","Feb","Mar","Apr","May","Jun","Jul","Aug","Sep","Oct","Nov","Dec")</f>
        <v>Mar</v>
      </c>
      <c r="I183" s="54">
        <f ca="1">DATEDIF(G183,TODAY(),"Y")</f>
        <v>15</v>
      </c>
      <c r="J183" s="55" t="s">
        <v>257</v>
      </c>
      <c r="K183" s="56">
        <v>63060</v>
      </c>
      <c r="L183" s="57">
        <v>4</v>
      </c>
      <c r="M183" s="62">
        <f>ROUND(K183*P181+K183,0)</f>
        <v>63060</v>
      </c>
      <c r="N183" s="103"/>
      <c r="O183" s="48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</row>
    <row r="184" spans="1:34" s="87" customFormat="1" x14ac:dyDescent="0.25">
      <c r="A184" s="42" t="s">
        <v>540</v>
      </c>
      <c r="B184" s="49" t="s">
        <v>285</v>
      </c>
      <c r="C184" s="42" t="s">
        <v>465</v>
      </c>
      <c r="D184" s="105">
        <v>635767088</v>
      </c>
      <c r="E184" s="105">
        <v>2522153322</v>
      </c>
      <c r="F184" s="42" t="s">
        <v>247</v>
      </c>
      <c r="G184" s="84">
        <f>36431+(364+182)</f>
        <v>36977</v>
      </c>
      <c r="H184" s="53" t="str">
        <f>CHOOSE(MONTH(G184),"Jan","Feb","Mar","Apr","May","Jun","Jul","Aug","Sep","Oct","Nov","Dec")</f>
        <v>Mar</v>
      </c>
      <c r="I184" s="54">
        <f ca="1">DATEDIF(G184,TODAY(),"Y")</f>
        <v>15</v>
      </c>
      <c r="J184" s="55"/>
      <c r="K184" s="56">
        <v>68510</v>
      </c>
      <c r="L184" s="57">
        <v>5</v>
      </c>
      <c r="M184" s="62">
        <f>ROUND(K184*P182+K184,0)</f>
        <v>68510</v>
      </c>
      <c r="N184" s="103"/>
      <c r="O184" s="48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</row>
    <row r="185" spans="1:34" s="87" customFormat="1" x14ac:dyDescent="0.25">
      <c r="A185" s="42" t="s">
        <v>590</v>
      </c>
      <c r="B185" s="49" t="s">
        <v>251</v>
      </c>
      <c r="C185" s="42" t="s">
        <v>465</v>
      </c>
      <c r="D185" s="105">
        <v>311883362</v>
      </c>
      <c r="E185" s="105">
        <v>2526505454</v>
      </c>
      <c r="F185" s="42" t="s">
        <v>247</v>
      </c>
      <c r="G185" s="84">
        <f>36780+(364+182)</f>
        <v>37326</v>
      </c>
      <c r="H185" s="53" t="str">
        <f>CHOOSE(MONTH(G185),"Jan","Feb","Mar","Apr","May","Jun","Jul","Aug","Sep","Oct","Nov","Dec")</f>
        <v>Mar</v>
      </c>
      <c r="I185" s="54">
        <f ca="1">DATEDIF(G185,TODAY(),"Y")</f>
        <v>14</v>
      </c>
      <c r="J185" s="55"/>
      <c r="K185" s="56">
        <v>52770</v>
      </c>
      <c r="L185" s="57">
        <v>2</v>
      </c>
      <c r="M185" s="62">
        <f>ROUND(K185*P183+K185,0)</f>
        <v>52770</v>
      </c>
      <c r="N185" s="103"/>
      <c r="O185" s="48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</row>
    <row r="186" spans="1:34" s="87" customFormat="1" x14ac:dyDescent="0.25">
      <c r="A186" s="42" t="s">
        <v>602</v>
      </c>
      <c r="B186" s="49" t="s">
        <v>271</v>
      </c>
      <c r="C186" s="42" t="s">
        <v>465</v>
      </c>
      <c r="D186" s="105">
        <v>213584397</v>
      </c>
      <c r="E186" s="105">
        <v>2524138160</v>
      </c>
      <c r="F186" s="42" t="s">
        <v>256</v>
      </c>
      <c r="G186" s="84">
        <f>36785+(364+182)</f>
        <v>37331</v>
      </c>
      <c r="H186" s="53" t="str">
        <f>CHOOSE(MONTH(G186),"Jan","Feb","Mar","Apr","May","Jun","Jul","Aug","Sep","Oct","Nov","Dec")</f>
        <v>Mar</v>
      </c>
      <c r="I186" s="54">
        <f ca="1">DATEDIF(G186,TODAY(),"Y")</f>
        <v>14</v>
      </c>
      <c r="J186" s="55" t="s">
        <v>283</v>
      </c>
      <c r="K186" s="56">
        <v>62750</v>
      </c>
      <c r="L186" s="57">
        <v>3</v>
      </c>
      <c r="M186" s="62">
        <f>ROUND(K186*P184+K186,0)</f>
        <v>62750</v>
      </c>
      <c r="N186" s="103"/>
      <c r="O186" s="48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</row>
    <row r="187" spans="1:34" s="87" customFormat="1" x14ac:dyDescent="0.25">
      <c r="A187" s="42" t="s">
        <v>1024</v>
      </c>
      <c r="B187" s="49" t="s">
        <v>266</v>
      </c>
      <c r="C187" s="42" t="s">
        <v>1025</v>
      </c>
      <c r="D187" s="105">
        <v>443926890</v>
      </c>
      <c r="E187" s="105">
        <v>2524411859</v>
      </c>
      <c r="F187" s="42" t="s">
        <v>256</v>
      </c>
      <c r="G187" s="84">
        <f>37138+(364+182)</f>
        <v>37684</v>
      </c>
      <c r="H187" s="53" t="str">
        <f>CHOOSE(MONTH(G187),"Jan","Feb","Mar","Apr","May","Jun","Jul","Aug","Sep","Oct","Nov","Dec")</f>
        <v>Mar</v>
      </c>
      <c r="I187" s="54">
        <f ca="1">DATEDIF(G187,TODAY(),"Y")</f>
        <v>13</v>
      </c>
      <c r="J187" s="55" t="s">
        <v>283</v>
      </c>
      <c r="K187" s="56">
        <v>42800</v>
      </c>
      <c r="L187" s="57">
        <v>5</v>
      </c>
      <c r="M187" s="62">
        <f>ROUND(K187*P185+K187,0)</f>
        <v>42800</v>
      </c>
      <c r="N187" s="103"/>
      <c r="O187" s="48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</row>
    <row r="188" spans="1:34" s="87" customFormat="1" x14ac:dyDescent="0.25">
      <c r="A188" s="42" t="s">
        <v>770</v>
      </c>
      <c r="B188" s="49" t="s">
        <v>285</v>
      </c>
      <c r="C188" s="42" t="s">
        <v>767</v>
      </c>
      <c r="D188" s="105">
        <v>945160038</v>
      </c>
      <c r="E188" s="105">
        <v>2527909707</v>
      </c>
      <c r="F188" s="42" t="s">
        <v>256</v>
      </c>
      <c r="G188" s="84">
        <f>37155+(364+182)</f>
        <v>37701</v>
      </c>
      <c r="H188" s="53" t="str">
        <f>CHOOSE(MONTH(G188),"Jan","Feb","Mar","Apr","May","Jun","Jul","Aug","Sep","Oct","Nov","Dec")</f>
        <v>Mar</v>
      </c>
      <c r="I188" s="54">
        <f ca="1">DATEDIF(G188,TODAY(),"Y")</f>
        <v>13</v>
      </c>
      <c r="J188" s="55" t="s">
        <v>262</v>
      </c>
      <c r="K188" s="56">
        <v>23560</v>
      </c>
      <c r="L188" s="57">
        <v>3</v>
      </c>
      <c r="M188" s="62">
        <f>ROUND(K188*P186+K188,0)</f>
        <v>23560</v>
      </c>
      <c r="N188" s="103"/>
      <c r="O188" s="48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</row>
    <row r="189" spans="1:34" s="87" customFormat="1" x14ac:dyDescent="0.25">
      <c r="A189" s="42" t="s">
        <v>708</v>
      </c>
      <c r="B189" s="49" t="s">
        <v>271</v>
      </c>
      <c r="C189" s="42" t="s">
        <v>705</v>
      </c>
      <c r="D189" s="105">
        <v>272714784</v>
      </c>
      <c r="E189" s="105">
        <v>9191162663</v>
      </c>
      <c r="F189" s="42" t="s">
        <v>252</v>
      </c>
      <c r="G189" s="84">
        <f>37165+(364+182)</f>
        <v>37711</v>
      </c>
      <c r="H189" s="53" t="str">
        <f>CHOOSE(MONTH(G189),"Jan","Feb","Mar","Apr","May","Jun","Jul","Aug","Sep","Oct","Nov","Dec")</f>
        <v>Mar</v>
      </c>
      <c r="I189" s="54">
        <f ca="1">DATEDIF(G189,TODAY(),"Y")</f>
        <v>13</v>
      </c>
      <c r="J189" s="55"/>
      <c r="K189" s="56">
        <v>21648</v>
      </c>
      <c r="L189" s="57">
        <v>2</v>
      </c>
      <c r="M189" s="62">
        <f>ROUND(K189*P187+K189,0)</f>
        <v>21648</v>
      </c>
      <c r="N189" s="103"/>
      <c r="O189" s="48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</row>
    <row r="190" spans="1:34" s="87" customFormat="1" x14ac:dyDescent="0.25">
      <c r="A190" s="42" t="s">
        <v>302</v>
      </c>
      <c r="B190" s="49" t="s">
        <v>251</v>
      </c>
      <c r="C190" s="42" t="s">
        <v>296</v>
      </c>
      <c r="D190" s="105">
        <v>764375259</v>
      </c>
      <c r="E190" s="105">
        <v>2527515181</v>
      </c>
      <c r="F190" s="42" t="s">
        <v>256</v>
      </c>
      <c r="G190" s="84">
        <f>37505+(364+182)</f>
        <v>38051</v>
      </c>
      <c r="H190" s="53" t="str">
        <f>CHOOSE(MONTH(G190),"Jan","Feb","Mar","Apr","May","Jun","Jul","Aug","Sep","Oct","Nov","Dec")</f>
        <v>Mar</v>
      </c>
      <c r="I190" s="54">
        <f ca="1">DATEDIF(G190,TODAY(),"Y")</f>
        <v>12</v>
      </c>
      <c r="J190" s="55" t="s">
        <v>257</v>
      </c>
      <c r="K190" s="56">
        <v>30350</v>
      </c>
      <c r="L190" s="57">
        <v>1</v>
      </c>
      <c r="M190" s="62">
        <f>ROUND(K190*P188+K190,0)</f>
        <v>30350</v>
      </c>
      <c r="N190" s="103"/>
      <c r="O190" s="48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</row>
    <row r="191" spans="1:34" s="87" customFormat="1" x14ac:dyDescent="0.25">
      <c r="A191" s="42" t="s">
        <v>587</v>
      </c>
      <c r="B191" s="49" t="s">
        <v>285</v>
      </c>
      <c r="C191" s="42" t="s">
        <v>465</v>
      </c>
      <c r="D191" s="105">
        <v>378281658</v>
      </c>
      <c r="E191" s="105">
        <v>9196705508</v>
      </c>
      <c r="F191" s="42" t="s">
        <v>247</v>
      </c>
      <c r="G191" s="84">
        <f>37527+(364+182)</f>
        <v>38073</v>
      </c>
      <c r="H191" s="53" t="str">
        <f>CHOOSE(MONTH(G191),"Jan","Feb","Mar","Apr","May","Jun","Jul","Aug","Sep","Oct","Nov","Dec")</f>
        <v>Mar</v>
      </c>
      <c r="I191" s="54">
        <f ca="1">DATEDIF(G191,TODAY(),"Y")</f>
        <v>12</v>
      </c>
      <c r="J191" s="55"/>
      <c r="K191" s="56">
        <v>39300</v>
      </c>
      <c r="L191" s="57">
        <v>2</v>
      </c>
      <c r="M191" s="62">
        <f>ROUND(K191*P189+K191,0)</f>
        <v>39300</v>
      </c>
      <c r="N191" s="103"/>
      <c r="O191" s="48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</row>
    <row r="192" spans="1:34" s="87" customFormat="1" x14ac:dyDescent="0.25">
      <c r="A192" s="42" t="s">
        <v>848</v>
      </c>
      <c r="B192" s="49" t="s">
        <v>266</v>
      </c>
      <c r="C192" s="42" t="s">
        <v>767</v>
      </c>
      <c r="D192" s="105">
        <v>546159785</v>
      </c>
      <c r="E192" s="105">
        <v>2522924678</v>
      </c>
      <c r="F192" s="42" t="s">
        <v>256</v>
      </c>
      <c r="G192" s="84">
        <f>37877+(364+182)</f>
        <v>38423</v>
      </c>
      <c r="H192" s="53" t="str">
        <f>CHOOSE(MONTH(G192),"Jan","Feb","Mar","Apr","May","Jun","Jul","Aug","Sep","Oct","Nov","Dec")</f>
        <v>Mar</v>
      </c>
      <c r="I192" s="54">
        <f ca="1">DATEDIF(G192,TODAY(),"Y")</f>
        <v>11</v>
      </c>
      <c r="J192" s="55" t="s">
        <v>276</v>
      </c>
      <c r="K192" s="56">
        <v>61330</v>
      </c>
      <c r="L192" s="57">
        <v>2</v>
      </c>
      <c r="M192" s="62">
        <f>ROUND(K192*P190+K192,0)</f>
        <v>61330</v>
      </c>
      <c r="N192" s="103"/>
      <c r="O192" s="48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</row>
    <row r="193" spans="1:34" s="87" customFormat="1" x14ac:dyDescent="0.25">
      <c r="A193" s="42" t="s">
        <v>967</v>
      </c>
      <c r="B193" s="49" t="s">
        <v>280</v>
      </c>
      <c r="C193" s="42" t="s">
        <v>930</v>
      </c>
      <c r="D193" s="105">
        <v>723066626</v>
      </c>
      <c r="E193" s="105">
        <v>2525399385</v>
      </c>
      <c r="F193" s="42" t="s">
        <v>247</v>
      </c>
      <c r="G193" s="84">
        <f>37892+(364+182)</f>
        <v>38438</v>
      </c>
      <c r="H193" s="53" t="str">
        <f>CHOOSE(MONTH(G193),"Jan","Feb","Mar","Apr","May","Jun","Jul","Aug","Sep","Oct","Nov","Dec")</f>
        <v>Mar</v>
      </c>
      <c r="I193" s="54">
        <f ca="1">DATEDIF(G193,TODAY(),"Y")</f>
        <v>11</v>
      </c>
      <c r="J193" s="55"/>
      <c r="K193" s="56">
        <v>32880</v>
      </c>
      <c r="L193" s="57">
        <v>3</v>
      </c>
      <c r="M193" s="62">
        <f>ROUND(K193*P191+K193,0)</f>
        <v>32880</v>
      </c>
      <c r="N193" s="103"/>
      <c r="O193" s="48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</row>
    <row r="194" spans="1:34" s="87" customFormat="1" x14ac:dyDescent="0.25">
      <c r="A194" s="42" t="s">
        <v>800</v>
      </c>
      <c r="B194" s="49" t="s">
        <v>266</v>
      </c>
      <c r="C194" s="42" t="s">
        <v>767</v>
      </c>
      <c r="D194" s="105">
        <v>920265140</v>
      </c>
      <c r="E194" s="105">
        <v>2524078104</v>
      </c>
      <c r="F194" s="42" t="s">
        <v>256</v>
      </c>
      <c r="G194" s="84">
        <f>38244+(364+182)</f>
        <v>38790</v>
      </c>
      <c r="H194" s="53" t="str">
        <f>CHOOSE(MONTH(G194),"Jan","Feb","Mar","Apr","May","Jun","Jul","Aug","Sep","Oct","Nov","Dec")</f>
        <v>Mar</v>
      </c>
      <c r="I194" s="54">
        <f ca="1">DATEDIF(G194,TODAY(),"Y")</f>
        <v>10</v>
      </c>
      <c r="J194" s="55" t="s">
        <v>262</v>
      </c>
      <c r="K194" s="56">
        <v>62688</v>
      </c>
      <c r="L194" s="57">
        <v>3</v>
      </c>
      <c r="M194" s="62">
        <f>ROUND(K194*P192+K194,0)</f>
        <v>62688</v>
      </c>
      <c r="N194" s="103"/>
      <c r="O194" s="48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</row>
    <row r="195" spans="1:34" s="87" customFormat="1" x14ac:dyDescent="0.25">
      <c r="A195" s="42" t="s">
        <v>870</v>
      </c>
      <c r="B195" s="49" t="s">
        <v>285</v>
      </c>
      <c r="C195" s="42" t="s">
        <v>856</v>
      </c>
      <c r="D195" s="105">
        <v>983047016</v>
      </c>
      <c r="E195" s="105">
        <v>9198451642</v>
      </c>
      <c r="F195" s="42" t="s">
        <v>247</v>
      </c>
      <c r="G195" s="84">
        <f>38247+(364+182)</f>
        <v>38793</v>
      </c>
      <c r="H195" s="53" t="str">
        <f>CHOOSE(MONTH(G195),"Jan","Feb","Mar","Apr","May","Jun","Jul","Aug","Sep","Oct","Nov","Dec")</f>
        <v>Mar</v>
      </c>
      <c r="I195" s="54">
        <f ca="1">DATEDIF(G195,TODAY(),"Y")</f>
        <v>10</v>
      </c>
      <c r="J195" s="55"/>
      <c r="K195" s="56">
        <v>85930</v>
      </c>
      <c r="L195" s="57">
        <v>2</v>
      </c>
      <c r="M195" s="62">
        <f>ROUND(K195*P193+K195,0)</f>
        <v>85930</v>
      </c>
      <c r="N195" s="103"/>
      <c r="O195" s="48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</row>
    <row r="196" spans="1:34" s="87" customFormat="1" x14ac:dyDescent="0.25">
      <c r="A196" s="42" t="s">
        <v>717</v>
      </c>
      <c r="B196" s="49" t="s">
        <v>285</v>
      </c>
      <c r="C196" s="42" t="s">
        <v>705</v>
      </c>
      <c r="D196" s="105">
        <v>365499498</v>
      </c>
      <c r="E196" s="105">
        <v>2523575849</v>
      </c>
      <c r="F196" s="42" t="s">
        <v>256</v>
      </c>
      <c r="G196" s="84">
        <f>38261+(364+182)</f>
        <v>38807</v>
      </c>
      <c r="H196" s="53" t="str">
        <f>CHOOSE(MONTH(G196),"Jan","Feb","Mar","Apr","May","Jun","Jul","Aug","Sep","Oct","Nov","Dec")</f>
        <v>Mar</v>
      </c>
      <c r="I196" s="54">
        <f ca="1">DATEDIF(G196,TODAY(),"Y")</f>
        <v>10</v>
      </c>
      <c r="J196" s="55" t="s">
        <v>257</v>
      </c>
      <c r="K196" s="56">
        <v>47060</v>
      </c>
      <c r="L196" s="57">
        <v>4</v>
      </c>
      <c r="M196" s="62">
        <f>ROUND(K196*P194+K196,0)</f>
        <v>47060</v>
      </c>
      <c r="N196" s="103"/>
      <c r="O196" s="48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</row>
    <row r="197" spans="1:34" s="87" customFormat="1" x14ac:dyDescent="0.25">
      <c r="A197" s="48" t="s">
        <v>244</v>
      </c>
      <c r="B197" s="49" t="s">
        <v>245</v>
      </c>
      <c r="C197" s="48" t="s">
        <v>246</v>
      </c>
      <c r="D197" s="109">
        <v>948195711</v>
      </c>
      <c r="E197" s="109">
        <v>2523539786</v>
      </c>
      <c r="F197" s="48" t="s">
        <v>247</v>
      </c>
      <c r="G197" s="108">
        <f>38601+(364+182)</f>
        <v>39147</v>
      </c>
      <c r="H197" s="53" t="str">
        <f>CHOOSE(MONTH(G197),"Jan","Feb","Mar","Apr","May","Jun","Jul","Aug","Sep","Oct","Nov","Dec")</f>
        <v>Mar</v>
      </c>
      <c r="I197" s="54">
        <f ca="1">DATEDIF(G197,TODAY(),"Y")</f>
        <v>9</v>
      </c>
      <c r="J197" s="55"/>
      <c r="K197" s="56">
        <v>42540</v>
      </c>
      <c r="L197" s="57">
        <v>5</v>
      </c>
      <c r="M197" s="62">
        <f>ROUND(K197*P195+K197,0)</f>
        <v>42540</v>
      </c>
      <c r="N197" s="103"/>
      <c r="O197" s="48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</row>
    <row r="198" spans="1:34" s="87" customFormat="1" x14ac:dyDescent="0.25">
      <c r="A198" s="42" t="s">
        <v>387</v>
      </c>
      <c r="B198" s="49" t="s">
        <v>285</v>
      </c>
      <c r="C198" s="42" t="s">
        <v>381</v>
      </c>
      <c r="D198" s="105">
        <v>510190628</v>
      </c>
      <c r="E198" s="105">
        <v>2527405629</v>
      </c>
      <c r="F198" s="42" t="s">
        <v>256</v>
      </c>
      <c r="G198" s="84">
        <f>38601+(364+182)</f>
        <v>39147</v>
      </c>
      <c r="H198" s="53" t="str">
        <f>CHOOSE(MONTH(G198),"Jan","Feb","Mar","Apr","May","Jun","Jul","Aug","Sep","Oct","Nov","Dec")</f>
        <v>Mar</v>
      </c>
      <c r="I198" s="54">
        <f ca="1">DATEDIF(G198,TODAY(),"Y")</f>
        <v>9</v>
      </c>
      <c r="J198" s="55" t="s">
        <v>283</v>
      </c>
      <c r="K198" s="56">
        <v>43680</v>
      </c>
      <c r="L198" s="57">
        <v>5</v>
      </c>
      <c r="M198" s="62">
        <f>ROUND(K198*P196+K198,0)</f>
        <v>43680</v>
      </c>
      <c r="N198" s="103"/>
      <c r="O198" s="48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</row>
    <row r="199" spans="1:34" s="87" customFormat="1" x14ac:dyDescent="0.25">
      <c r="A199" s="42" t="s">
        <v>922</v>
      </c>
      <c r="B199" s="49" t="s">
        <v>245</v>
      </c>
      <c r="C199" s="42" t="s">
        <v>856</v>
      </c>
      <c r="D199" s="105">
        <v>765836666</v>
      </c>
      <c r="E199" s="105">
        <v>2525013435</v>
      </c>
      <c r="F199" s="42" t="s">
        <v>256</v>
      </c>
      <c r="G199" s="84">
        <f>38607+(364+182)</f>
        <v>39153</v>
      </c>
      <c r="H199" s="53" t="str">
        <f>CHOOSE(MONTH(G199),"Jan","Feb","Mar","Apr","May","Jun","Jul","Aug","Sep","Oct","Nov","Dec")</f>
        <v>Mar</v>
      </c>
      <c r="I199" s="54">
        <f ca="1">DATEDIF(G199,TODAY(),"Y")</f>
        <v>9</v>
      </c>
      <c r="J199" s="55" t="s">
        <v>283</v>
      </c>
      <c r="K199" s="56">
        <v>43600</v>
      </c>
      <c r="L199" s="57">
        <v>5</v>
      </c>
      <c r="M199" s="62">
        <f>ROUND(K199*P197+K199,0)</f>
        <v>43600</v>
      </c>
      <c r="N199" s="103"/>
      <c r="O199" s="48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</row>
    <row r="200" spans="1:34" s="87" customFormat="1" x14ac:dyDescent="0.25">
      <c r="A200" s="42" t="s">
        <v>645</v>
      </c>
      <c r="B200" s="49" t="s">
        <v>245</v>
      </c>
      <c r="C200" s="42" t="s">
        <v>626</v>
      </c>
      <c r="D200" s="105">
        <v>895408697</v>
      </c>
      <c r="E200" s="105">
        <v>2523383207</v>
      </c>
      <c r="F200" s="42" t="s">
        <v>256</v>
      </c>
      <c r="G200" s="84">
        <f>38611+(364+182)</f>
        <v>39157</v>
      </c>
      <c r="H200" s="53" t="str">
        <f>CHOOSE(MONTH(G200),"Jan","Feb","Mar","Apr","May","Jun","Jul","Aug","Sep","Oct","Nov","Dec")</f>
        <v>Mar</v>
      </c>
      <c r="I200" s="54">
        <f ca="1">DATEDIF(G200,TODAY(),"Y")</f>
        <v>9</v>
      </c>
      <c r="J200" s="55" t="s">
        <v>283</v>
      </c>
      <c r="K200" s="56">
        <v>47610</v>
      </c>
      <c r="L200" s="57">
        <v>4</v>
      </c>
      <c r="M200" s="62">
        <f>ROUND(K200*P198+K200,0)</f>
        <v>47610</v>
      </c>
      <c r="N200" s="103"/>
      <c r="O200" s="48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</row>
    <row r="201" spans="1:34" s="87" customFormat="1" x14ac:dyDescent="0.25">
      <c r="A201" s="42" t="s">
        <v>993</v>
      </c>
      <c r="B201" s="49" t="s">
        <v>280</v>
      </c>
      <c r="C201" s="42" t="s">
        <v>930</v>
      </c>
      <c r="D201" s="105">
        <v>276873359</v>
      </c>
      <c r="E201" s="105">
        <v>2522304625</v>
      </c>
      <c r="F201" s="42" t="s">
        <v>256</v>
      </c>
      <c r="G201" s="84">
        <f>38625+(364+182)</f>
        <v>39171</v>
      </c>
      <c r="H201" s="53" t="str">
        <f>CHOOSE(MONTH(G201),"Jan","Feb","Mar","Apr","May","Jun","Jul","Aug","Sep","Oct","Nov","Dec")</f>
        <v>Mar</v>
      </c>
      <c r="I201" s="54">
        <f ca="1">DATEDIF(G201,TODAY(),"Y")</f>
        <v>9</v>
      </c>
      <c r="J201" s="55" t="s">
        <v>267</v>
      </c>
      <c r="K201" s="56">
        <v>25690</v>
      </c>
      <c r="L201" s="57">
        <v>2</v>
      </c>
      <c r="M201" s="62">
        <f>ROUND(K201*P199+K201,0)</f>
        <v>25690</v>
      </c>
      <c r="N201" s="103"/>
      <c r="O201" s="48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</row>
    <row r="202" spans="1:34" s="87" customFormat="1" x14ac:dyDescent="0.25">
      <c r="A202" s="42" t="s">
        <v>377</v>
      </c>
      <c r="B202" s="49" t="s">
        <v>271</v>
      </c>
      <c r="C202" s="42" t="s">
        <v>372</v>
      </c>
      <c r="D202" s="105">
        <v>106966222</v>
      </c>
      <c r="E202" s="105">
        <v>9198310129</v>
      </c>
      <c r="F202" s="42" t="s">
        <v>247</v>
      </c>
      <c r="G202" s="84">
        <f>38983+(364+182)</f>
        <v>39529</v>
      </c>
      <c r="H202" s="53" t="str">
        <f>CHOOSE(MONTH(G202),"Jan","Feb","Mar","Apr","May","Jun","Jul","Aug","Sep","Oct","Nov","Dec")</f>
        <v>Mar</v>
      </c>
      <c r="I202" s="54">
        <f ca="1">DATEDIF(G202,TODAY(),"Y")</f>
        <v>8</v>
      </c>
      <c r="J202" s="55"/>
      <c r="K202" s="56">
        <v>35620</v>
      </c>
      <c r="L202" s="57">
        <v>4</v>
      </c>
      <c r="M202" s="62">
        <f>ROUND(K202*P200+K202,0)</f>
        <v>35620</v>
      </c>
      <c r="N202" s="103"/>
      <c r="O202" s="48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</row>
    <row r="203" spans="1:34" s="87" customFormat="1" x14ac:dyDescent="0.25">
      <c r="A203" s="42" t="s">
        <v>1023</v>
      </c>
      <c r="B203" s="49" t="s">
        <v>280</v>
      </c>
      <c r="C203" s="42" t="s">
        <v>930</v>
      </c>
      <c r="D203" s="105">
        <v>843299208</v>
      </c>
      <c r="E203" s="105">
        <v>9198631557</v>
      </c>
      <c r="F203" s="42" t="s">
        <v>261</v>
      </c>
      <c r="G203" s="84">
        <f>38989+(364+182)</f>
        <v>39535</v>
      </c>
      <c r="H203" s="53" t="str">
        <f>CHOOSE(MONTH(G203),"Jan","Feb","Mar","Apr","May","Jun","Jul","Aug","Sep","Oct","Nov","Dec")</f>
        <v>Mar</v>
      </c>
      <c r="I203" s="54">
        <f ca="1">DATEDIF(G203,TODAY(),"Y")</f>
        <v>8</v>
      </c>
      <c r="J203" s="55" t="s">
        <v>276</v>
      </c>
      <c r="K203" s="56">
        <v>49080</v>
      </c>
      <c r="L203" s="57">
        <v>5</v>
      </c>
      <c r="M203" s="62">
        <f>ROUND(K203*P201+K203,0)</f>
        <v>49080</v>
      </c>
      <c r="N203" s="103"/>
      <c r="O203" s="48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</row>
    <row r="204" spans="1:34" s="87" customFormat="1" x14ac:dyDescent="0.25">
      <c r="A204" s="42" t="s">
        <v>475</v>
      </c>
      <c r="B204" s="49" t="s">
        <v>245</v>
      </c>
      <c r="C204" s="42" t="s">
        <v>465</v>
      </c>
      <c r="D204" s="105">
        <v>318068637</v>
      </c>
      <c r="E204" s="105">
        <v>9193709408</v>
      </c>
      <c r="F204" s="42" t="s">
        <v>247</v>
      </c>
      <c r="G204" s="84">
        <f>38992+(364+182)</f>
        <v>39538</v>
      </c>
      <c r="H204" s="53" t="str">
        <f>CHOOSE(MONTH(G204),"Jan","Feb","Mar","Apr","May","Jun","Jul","Aug","Sep","Oct","Nov","Dec")</f>
        <v>Mar</v>
      </c>
      <c r="I204" s="54">
        <f ca="1">DATEDIF(G204,TODAY(),"Y")</f>
        <v>8</v>
      </c>
      <c r="J204" s="55"/>
      <c r="K204" s="56">
        <v>62780</v>
      </c>
      <c r="L204" s="57">
        <v>4</v>
      </c>
      <c r="M204" s="62">
        <f>ROUND(K204*P202+K204,0)</f>
        <v>62780</v>
      </c>
      <c r="N204" s="103"/>
      <c r="O204" s="48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</row>
    <row r="205" spans="1:34" s="87" customFormat="1" x14ac:dyDescent="0.25">
      <c r="A205" s="42" t="s">
        <v>429</v>
      </c>
      <c r="B205" s="49" t="s">
        <v>271</v>
      </c>
      <c r="C205" s="42" t="s">
        <v>417</v>
      </c>
      <c r="D205" s="105">
        <v>407299017</v>
      </c>
      <c r="E205" s="105">
        <v>9195968632</v>
      </c>
      <c r="F205" s="42" t="s">
        <v>252</v>
      </c>
      <c r="G205" s="84">
        <f>39347+(364+182)</f>
        <v>39893</v>
      </c>
      <c r="H205" s="53" t="str">
        <f>CHOOSE(MONTH(G205),"Jan","Feb","Mar","Apr","May","Jun","Jul","Aug","Sep","Oct","Nov","Dec")</f>
        <v>Mar</v>
      </c>
      <c r="I205" s="54">
        <f ca="1">DATEDIF(G205,TODAY(),"Y")</f>
        <v>7</v>
      </c>
      <c r="J205" s="55"/>
      <c r="K205" s="56">
        <v>15744</v>
      </c>
      <c r="L205" s="57">
        <v>3</v>
      </c>
      <c r="M205" s="62">
        <f>ROUND(K205*P203+K205,0)</f>
        <v>15744</v>
      </c>
      <c r="N205" s="103"/>
      <c r="O205" s="48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</row>
    <row r="206" spans="1:34" s="87" customFormat="1" x14ac:dyDescent="0.25">
      <c r="A206" s="42" t="s">
        <v>785</v>
      </c>
      <c r="B206" s="49" t="s">
        <v>245</v>
      </c>
      <c r="C206" s="42" t="s">
        <v>767</v>
      </c>
      <c r="D206" s="105">
        <v>151277827</v>
      </c>
      <c r="E206" s="105">
        <v>9197179128</v>
      </c>
      <c r="F206" s="42" t="s">
        <v>256</v>
      </c>
      <c r="G206" s="84">
        <f>39353+(364+182)</f>
        <v>39899</v>
      </c>
      <c r="H206" s="53" t="str">
        <f>CHOOSE(MONTH(G206),"Jan","Feb","Mar","Apr","May","Jun","Jul","Aug","Sep","Oct","Nov","Dec")</f>
        <v>Mar</v>
      </c>
      <c r="I206" s="54">
        <f ca="1">DATEDIF(G206,TODAY(),"Y")</f>
        <v>7</v>
      </c>
      <c r="J206" s="55" t="s">
        <v>257</v>
      </c>
      <c r="K206" s="56">
        <v>24790</v>
      </c>
      <c r="L206" s="57">
        <v>3</v>
      </c>
      <c r="M206" s="62">
        <f>ROUND(K206*P204+K206,0)</f>
        <v>24790</v>
      </c>
      <c r="N206" s="103"/>
      <c r="O206" s="48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</row>
    <row r="207" spans="1:34" s="87" customFormat="1" x14ac:dyDescent="0.25">
      <c r="A207" s="42" t="s">
        <v>378</v>
      </c>
      <c r="B207" s="49" t="s">
        <v>285</v>
      </c>
      <c r="C207" s="42" t="s">
        <v>372</v>
      </c>
      <c r="D207" s="105">
        <v>495042805</v>
      </c>
      <c r="E207" s="105">
        <v>9197146686</v>
      </c>
      <c r="F207" s="42" t="s">
        <v>247</v>
      </c>
      <c r="G207" s="106">
        <f>39707+(364+182)</f>
        <v>40253</v>
      </c>
      <c r="H207" s="53" t="str">
        <f>CHOOSE(MONTH(G207),"Jan","Feb","Mar","Apr","May","Jun","Jul","Aug","Sep","Oct","Nov","Dec")</f>
        <v>Mar</v>
      </c>
      <c r="I207" s="54">
        <f ca="1">DATEDIF(G207,TODAY(),"Y")</f>
        <v>6</v>
      </c>
      <c r="J207" s="55"/>
      <c r="K207" s="56">
        <v>59350</v>
      </c>
      <c r="L207" s="57">
        <v>5</v>
      </c>
      <c r="M207" s="62">
        <f>ROUND(K207*P205+K207,0)</f>
        <v>59350</v>
      </c>
      <c r="N207" s="103"/>
      <c r="O207" s="48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</row>
    <row r="208" spans="1:34" s="87" customFormat="1" x14ac:dyDescent="0.25">
      <c r="A208" s="42" t="s">
        <v>834</v>
      </c>
      <c r="B208" s="49" t="s">
        <v>251</v>
      </c>
      <c r="C208" s="42" t="s">
        <v>767</v>
      </c>
      <c r="D208" s="105">
        <v>618775364</v>
      </c>
      <c r="E208" s="105">
        <v>9193182167</v>
      </c>
      <c r="F208" s="42" t="s">
        <v>261</v>
      </c>
      <c r="G208" s="106">
        <f>39708+(364+182)</f>
        <v>40254</v>
      </c>
      <c r="H208" s="53" t="str">
        <f>CHOOSE(MONTH(G208),"Jan","Feb","Mar","Apr","May","Jun","Jul","Aug","Sep","Oct","Nov","Dec")</f>
        <v>Mar</v>
      </c>
      <c r="I208" s="54">
        <f ca="1">DATEDIF(G208,TODAY(),"Y")</f>
        <v>6</v>
      </c>
      <c r="J208" s="55" t="s">
        <v>283</v>
      </c>
      <c r="K208" s="56">
        <v>48700</v>
      </c>
      <c r="L208" s="57">
        <v>3</v>
      </c>
      <c r="M208" s="62">
        <f>ROUND(K208*P206+K208,0)</f>
        <v>48700</v>
      </c>
      <c r="N208" s="103"/>
      <c r="O208" s="48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</row>
    <row r="209" spans="1:34" s="87" customFormat="1" x14ac:dyDescent="0.25">
      <c r="A209" s="42" t="s">
        <v>427</v>
      </c>
      <c r="B209" s="49" t="s">
        <v>266</v>
      </c>
      <c r="C209" s="42" t="s">
        <v>417</v>
      </c>
      <c r="D209" s="105">
        <v>956291859</v>
      </c>
      <c r="E209" s="105">
        <v>2521156902</v>
      </c>
      <c r="F209" s="42" t="s">
        <v>247</v>
      </c>
      <c r="G209" s="84">
        <f>39713+(364+182)</f>
        <v>40259</v>
      </c>
      <c r="H209" s="53" t="str">
        <f>CHOOSE(MONTH(G209),"Jan","Feb","Mar","Apr","May","Jun","Jul","Aug","Sep","Oct","Nov","Dec")</f>
        <v>Mar</v>
      </c>
      <c r="I209" s="54">
        <f ca="1">DATEDIF(G209,TODAY(),"Y")</f>
        <v>6</v>
      </c>
      <c r="J209" s="55"/>
      <c r="K209" s="56">
        <v>45710</v>
      </c>
      <c r="L209" s="57">
        <v>3</v>
      </c>
      <c r="M209" s="62">
        <f>ROUND(K209*P207+K209,0)</f>
        <v>45710</v>
      </c>
      <c r="N209" s="103"/>
      <c r="O209" s="48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</row>
    <row r="210" spans="1:34" x14ac:dyDescent="0.25">
      <c r="A210" s="42" t="s">
        <v>455</v>
      </c>
      <c r="B210" s="49" t="s">
        <v>251</v>
      </c>
      <c r="C210" s="42" t="s">
        <v>456</v>
      </c>
      <c r="D210" s="105">
        <v>117896630</v>
      </c>
      <c r="E210" s="105">
        <v>9197173558</v>
      </c>
      <c r="F210" s="42" t="s">
        <v>247</v>
      </c>
      <c r="G210" s="84">
        <f>39717+(364+182)</f>
        <v>40263</v>
      </c>
      <c r="H210" s="53" t="str">
        <f>CHOOSE(MONTH(G210),"Jan","Feb","Mar","Apr","May","Jun","Jul","Aug","Sep","Oct","Nov","Dec")</f>
        <v>Mar</v>
      </c>
      <c r="I210" s="54">
        <f ca="1">DATEDIF(G210,TODAY(),"Y")</f>
        <v>6</v>
      </c>
      <c r="J210" s="55" t="s">
        <v>267</v>
      </c>
      <c r="K210" s="56">
        <v>71190</v>
      </c>
      <c r="L210" s="57">
        <v>4</v>
      </c>
      <c r="M210" s="62">
        <f>ROUND(K210*P208+K210,0)</f>
        <v>71190</v>
      </c>
    </row>
    <row r="211" spans="1:34" x14ac:dyDescent="0.25">
      <c r="A211" s="42" t="s">
        <v>520</v>
      </c>
      <c r="B211" s="49" t="s">
        <v>285</v>
      </c>
      <c r="C211" s="42" t="s">
        <v>465</v>
      </c>
      <c r="D211" s="105">
        <v>377194926</v>
      </c>
      <c r="E211" s="105">
        <v>9197362525</v>
      </c>
      <c r="F211" s="42" t="s">
        <v>256</v>
      </c>
      <c r="G211" s="106">
        <f>40057+(364+182)</f>
        <v>40603</v>
      </c>
      <c r="H211" s="53" t="str">
        <f>CHOOSE(MONTH(G211),"Jan","Feb","Mar","Apr","May","Jun","Jul","Aug","Sep","Oct","Nov","Dec")</f>
        <v>Mar</v>
      </c>
      <c r="I211" s="54">
        <f ca="1">DATEDIF(G211,TODAY(),"Y")</f>
        <v>5</v>
      </c>
      <c r="J211" s="55" t="s">
        <v>267</v>
      </c>
      <c r="K211" s="56">
        <v>44260</v>
      </c>
      <c r="L211" s="57">
        <v>1</v>
      </c>
      <c r="M211" s="62">
        <f>ROUND(K211*P209+K211,0)</f>
        <v>44260</v>
      </c>
    </row>
    <row r="212" spans="1:34" x14ac:dyDescent="0.25">
      <c r="A212" s="42" t="s">
        <v>719</v>
      </c>
      <c r="B212" s="49" t="s">
        <v>251</v>
      </c>
      <c r="C212" s="42" t="s">
        <v>705</v>
      </c>
      <c r="D212" s="105">
        <v>711445298</v>
      </c>
      <c r="E212" s="105">
        <v>2528359862</v>
      </c>
      <c r="F212" s="42" t="s">
        <v>247</v>
      </c>
      <c r="G212" s="112">
        <f>40074+(364+182)</f>
        <v>40620</v>
      </c>
      <c r="H212" s="53" t="str">
        <f>CHOOSE(MONTH(G212),"Jan","Feb","Mar","Apr","May","Jun","Jul","Aug","Sep","Oct","Nov","Dec")</f>
        <v>Mar</v>
      </c>
      <c r="I212" s="54">
        <f ca="1">DATEDIF(G212,TODAY(),"Y")</f>
        <v>5</v>
      </c>
      <c r="J212" s="55"/>
      <c r="K212" s="56">
        <v>84300</v>
      </c>
      <c r="L212" s="57">
        <v>1</v>
      </c>
      <c r="M212" s="62">
        <f>ROUND(K212*P210+K212,0)</f>
        <v>84300</v>
      </c>
    </row>
    <row r="213" spans="1:34" x14ac:dyDescent="0.25">
      <c r="A213" s="42" t="s">
        <v>777</v>
      </c>
      <c r="B213" s="49" t="s">
        <v>271</v>
      </c>
      <c r="C213" s="42" t="s">
        <v>767</v>
      </c>
      <c r="D213" s="105">
        <v>728567428</v>
      </c>
      <c r="E213" s="105">
        <v>2521957923</v>
      </c>
      <c r="F213" s="42" t="s">
        <v>256</v>
      </c>
      <c r="G213" s="84">
        <f>40078+(364+182)</f>
        <v>40624</v>
      </c>
      <c r="H213" s="53" t="str">
        <f>CHOOSE(MONTH(G213),"Jan","Feb","Mar","Apr","May","Jun","Jul","Aug","Sep","Oct","Nov","Dec")</f>
        <v>Mar</v>
      </c>
      <c r="I213" s="54">
        <f ca="1">DATEDIF(G213,TODAY(),"Y")</f>
        <v>5</v>
      </c>
      <c r="J213" s="55" t="s">
        <v>276</v>
      </c>
      <c r="K213" s="56">
        <v>86500</v>
      </c>
      <c r="L213" s="57">
        <v>1</v>
      </c>
      <c r="M213" s="62">
        <f>ROUND(K213*P211+K213,0)</f>
        <v>86500</v>
      </c>
    </row>
    <row r="214" spans="1:34" x14ac:dyDescent="0.25">
      <c r="A214" s="42" t="s">
        <v>347</v>
      </c>
      <c r="B214" s="49" t="s">
        <v>245</v>
      </c>
      <c r="C214" s="42" t="s">
        <v>312</v>
      </c>
      <c r="D214" s="105">
        <v>787156286</v>
      </c>
      <c r="E214" s="105">
        <v>2524588703</v>
      </c>
      <c r="F214" s="42" t="s">
        <v>256</v>
      </c>
      <c r="G214" s="84">
        <f>32802+(364+182)</f>
        <v>33348</v>
      </c>
      <c r="H214" s="53" t="str">
        <f>CHOOSE(MONTH(G214),"Jan","Feb","Mar","Apr","May","Jun","Jul","Aug","Sep","Oct","Nov","Dec")</f>
        <v>Apr</v>
      </c>
      <c r="I214" s="54">
        <f ca="1">DATEDIF(G214,TODAY(),"Y")</f>
        <v>25</v>
      </c>
      <c r="J214" s="55" t="s">
        <v>276</v>
      </c>
      <c r="K214" s="56">
        <v>49810</v>
      </c>
      <c r="L214" s="57">
        <v>2</v>
      </c>
      <c r="M214" s="62">
        <f>ROUND(K214*P212+K214,0)</f>
        <v>49810</v>
      </c>
    </row>
    <row r="215" spans="1:34" x14ac:dyDescent="0.25">
      <c r="A215" s="42" t="s">
        <v>761</v>
      </c>
      <c r="B215" s="49" t="s">
        <v>285</v>
      </c>
      <c r="C215" s="42" t="s">
        <v>750</v>
      </c>
      <c r="D215" s="105">
        <v>219740602</v>
      </c>
      <c r="E215" s="105">
        <v>9197429525</v>
      </c>
      <c r="F215" s="42" t="s">
        <v>261</v>
      </c>
      <c r="G215" s="84">
        <f>32803+(364+182)</f>
        <v>33349</v>
      </c>
      <c r="H215" s="53" t="str">
        <f>CHOOSE(MONTH(G215),"Jan","Feb","Mar","Apr","May","Jun","Jul","Aug","Sep","Oct","Nov","Dec")</f>
        <v>Apr</v>
      </c>
      <c r="I215" s="54">
        <f ca="1">DATEDIF(G215,TODAY(),"Y")</f>
        <v>25</v>
      </c>
      <c r="J215" s="55" t="s">
        <v>276</v>
      </c>
      <c r="K215" s="56">
        <v>16015</v>
      </c>
      <c r="L215" s="57">
        <v>3</v>
      </c>
      <c r="M215" s="62">
        <f>ROUND(K215*P213+K215,0)</f>
        <v>16015</v>
      </c>
    </row>
    <row r="216" spans="1:34" x14ac:dyDescent="0.25">
      <c r="A216" s="42" t="s">
        <v>642</v>
      </c>
      <c r="B216" s="49" t="s">
        <v>285</v>
      </c>
      <c r="C216" s="42" t="s">
        <v>626</v>
      </c>
      <c r="D216" s="105">
        <v>275102740</v>
      </c>
      <c r="E216" s="105">
        <v>2521620909</v>
      </c>
      <c r="F216" s="42" t="s">
        <v>256</v>
      </c>
      <c r="G216" s="84">
        <f>33149+(364+182)</f>
        <v>33695</v>
      </c>
      <c r="H216" s="53" t="str">
        <f>CHOOSE(MONTH(G216),"Jan","Feb","Mar","Apr","May","Jun","Jul","Aug","Sep","Oct","Nov","Dec")</f>
        <v>Apr</v>
      </c>
      <c r="I216" s="54">
        <f ca="1">DATEDIF(G216,TODAY(),"Y")</f>
        <v>24</v>
      </c>
      <c r="J216" s="55" t="s">
        <v>262</v>
      </c>
      <c r="K216" s="56">
        <v>60560</v>
      </c>
      <c r="L216" s="57">
        <v>4</v>
      </c>
      <c r="M216" s="62">
        <f>ROUND(K216*P214+K216,0)</f>
        <v>60560</v>
      </c>
    </row>
    <row r="217" spans="1:34" x14ac:dyDescent="0.25">
      <c r="A217" s="42" t="s">
        <v>661</v>
      </c>
      <c r="B217" s="49" t="s">
        <v>245</v>
      </c>
      <c r="C217" s="42" t="s">
        <v>626</v>
      </c>
      <c r="D217" s="105">
        <v>948189231</v>
      </c>
      <c r="E217" s="105">
        <v>2527687161</v>
      </c>
      <c r="F217" s="42" t="s">
        <v>256</v>
      </c>
      <c r="G217" s="84">
        <f>33156+(364+182)</f>
        <v>33702</v>
      </c>
      <c r="H217" s="53" t="str">
        <f>CHOOSE(MONTH(G217),"Jan","Feb","Mar","Apr","May","Jun","Jul","Aug","Sep","Oct","Nov","Dec")</f>
        <v>Apr</v>
      </c>
      <c r="I217" s="54">
        <f ca="1">DATEDIF(G217,TODAY(),"Y")</f>
        <v>24</v>
      </c>
      <c r="J217" s="55" t="s">
        <v>257</v>
      </c>
      <c r="K217" s="56">
        <v>37020</v>
      </c>
      <c r="L217" s="57">
        <v>2</v>
      </c>
      <c r="M217" s="62">
        <f>ROUND(K217*P215+K217,0)</f>
        <v>37020</v>
      </c>
    </row>
    <row r="218" spans="1:34" x14ac:dyDescent="0.25">
      <c r="A218" s="42" t="s">
        <v>432</v>
      </c>
      <c r="B218" s="49" t="s">
        <v>245</v>
      </c>
      <c r="C218" s="42" t="s">
        <v>417</v>
      </c>
      <c r="D218" s="105">
        <v>304068732</v>
      </c>
      <c r="E218" s="105">
        <v>2523919445</v>
      </c>
      <c r="F218" s="42" t="s">
        <v>261</v>
      </c>
      <c r="G218" s="84">
        <f>33163+(364+182)</f>
        <v>33709</v>
      </c>
      <c r="H218" s="53" t="str">
        <f>CHOOSE(MONTH(G218),"Jan","Feb","Mar","Apr","May","Jun","Jul","Aug","Sep","Oct","Nov","Dec")</f>
        <v>Apr</v>
      </c>
      <c r="I218" s="54">
        <f ca="1">DATEDIF(G218,TODAY(),"Y")</f>
        <v>24</v>
      </c>
      <c r="J218" s="55" t="s">
        <v>257</v>
      </c>
      <c r="K218" s="56">
        <v>34110</v>
      </c>
      <c r="L218" s="57">
        <v>4</v>
      </c>
      <c r="M218" s="62">
        <f>ROUND(K218*P216+K218,0)</f>
        <v>34110</v>
      </c>
      <c r="N218" s="110"/>
    </row>
    <row r="219" spans="1:34" x14ac:dyDescent="0.25">
      <c r="A219" s="42" t="s">
        <v>909</v>
      </c>
      <c r="B219" s="49" t="s">
        <v>285</v>
      </c>
      <c r="C219" s="42" t="s">
        <v>856</v>
      </c>
      <c r="D219" s="105">
        <v>693965055</v>
      </c>
      <c r="E219" s="105">
        <v>2527853314</v>
      </c>
      <c r="F219" s="42" t="s">
        <v>256</v>
      </c>
      <c r="G219" s="84">
        <f>33165+(364+182)</f>
        <v>33711</v>
      </c>
      <c r="H219" s="53" t="str">
        <f>CHOOSE(MONTH(G219),"Jan","Feb","Mar","Apr","May","Jun","Jul","Aug","Sep","Oct","Nov","Dec")</f>
        <v>Apr</v>
      </c>
      <c r="I219" s="54">
        <f ca="1">DATEDIF(G219,TODAY(),"Y")</f>
        <v>24</v>
      </c>
      <c r="J219" s="55" t="s">
        <v>257</v>
      </c>
      <c r="K219" s="56">
        <v>68470</v>
      </c>
      <c r="L219" s="57">
        <v>4</v>
      </c>
      <c r="M219" s="62">
        <f>ROUND(K219*P217+K219,0)</f>
        <v>68470</v>
      </c>
    </row>
    <row r="220" spans="1:34" x14ac:dyDescent="0.25">
      <c r="A220" s="42" t="s">
        <v>306</v>
      </c>
      <c r="B220" s="49" t="s">
        <v>285</v>
      </c>
      <c r="C220" s="42" t="s">
        <v>307</v>
      </c>
      <c r="D220" s="105">
        <v>682791418</v>
      </c>
      <c r="E220" s="105">
        <v>9194603155</v>
      </c>
      <c r="F220" s="42" t="s">
        <v>256</v>
      </c>
      <c r="G220" s="84">
        <f>33167+(364+182)</f>
        <v>33713</v>
      </c>
      <c r="H220" s="53" t="str">
        <f>CHOOSE(MONTH(G220),"Jan","Feb","Mar","Apr","May","Jun","Jul","Aug","Sep","Oct","Nov","Dec")</f>
        <v>Apr</v>
      </c>
      <c r="I220" s="54">
        <f ca="1">DATEDIF(G220,TODAY(),"Y")</f>
        <v>24</v>
      </c>
      <c r="J220" s="55" t="s">
        <v>257</v>
      </c>
      <c r="K220" s="56">
        <v>46220</v>
      </c>
      <c r="L220" s="57">
        <v>3</v>
      </c>
      <c r="M220" s="62">
        <f>ROUND(K220*P218+K220,0)</f>
        <v>46220</v>
      </c>
      <c r="N220" s="110"/>
      <c r="O220" s="104"/>
    </row>
    <row r="221" spans="1:34" x14ac:dyDescent="0.25">
      <c r="A221" s="42" t="s">
        <v>523</v>
      </c>
      <c r="B221" s="49" t="s">
        <v>245</v>
      </c>
      <c r="C221" s="42" t="s">
        <v>465</v>
      </c>
      <c r="D221" s="105">
        <v>467030396</v>
      </c>
      <c r="E221" s="105">
        <v>2526213620</v>
      </c>
      <c r="F221" s="42" t="s">
        <v>256</v>
      </c>
      <c r="G221" s="84">
        <f>33174+(364+182)</f>
        <v>33720</v>
      </c>
      <c r="H221" s="53" t="str">
        <f>CHOOSE(MONTH(G221),"Jan","Feb","Mar","Apr","May","Jun","Jul","Aug","Sep","Oct","Nov","Dec")</f>
        <v>Apr</v>
      </c>
      <c r="I221" s="54">
        <f ca="1">DATEDIF(G221,TODAY(),"Y")</f>
        <v>24</v>
      </c>
      <c r="J221" s="55" t="s">
        <v>283</v>
      </c>
      <c r="K221" s="56">
        <v>58910</v>
      </c>
      <c r="L221" s="57">
        <v>1</v>
      </c>
      <c r="M221" s="62">
        <f>ROUND(K221*P219+K221,0)</f>
        <v>58910</v>
      </c>
    </row>
    <row r="222" spans="1:34" x14ac:dyDescent="0.25">
      <c r="A222" s="42" t="s">
        <v>519</v>
      </c>
      <c r="B222" s="49" t="s">
        <v>271</v>
      </c>
      <c r="C222" s="42" t="s">
        <v>465</v>
      </c>
      <c r="D222" s="105">
        <v>854806695</v>
      </c>
      <c r="E222" s="105">
        <v>9192672603</v>
      </c>
      <c r="F222" s="42" t="s">
        <v>256</v>
      </c>
      <c r="G222" s="84">
        <f>33175+(364+182)</f>
        <v>33721</v>
      </c>
      <c r="H222" s="53" t="str">
        <f>CHOOSE(MONTH(G222),"Jan","Feb","Mar","Apr","May","Jun","Jul","Aug","Sep","Oct","Nov","Dec")</f>
        <v>Apr</v>
      </c>
      <c r="I222" s="54">
        <f ca="1">DATEDIF(G222,TODAY(),"Y")</f>
        <v>24</v>
      </c>
      <c r="J222" s="55" t="s">
        <v>283</v>
      </c>
      <c r="K222" s="56">
        <v>26190</v>
      </c>
      <c r="L222" s="57">
        <v>5</v>
      </c>
      <c r="M222" s="62">
        <f>ROUND(K222*P220+K222,0)</f>
        <v>26190</v>
      </c>
    </row>
    <row r="223" spans="1:34" x14ac:dyDescent="0.25">
      <c r="A223" s="42" t="s">
        <v>772</v>
      </c>
      <c r="B223" s="49" t="s">
        <v>271</v>
      </c>
      <c r="C223" s="42" t="s">
        <v>767</v>
      </c>
      <c r="D223" s="105">
        <v>558903229</v>
      </c>
      <c r="E223" s="105">
        <v>9195699651</v>
      </c>
      <c r="F223" s="42" t="s">
        <v>256</v>
      </c>
      <c r="G223" s="84">
        <f>33515+(364+182)</f>
        <v>34061</v>
      </c>
      <c r="H223" s="53" t="str">
        <f>CHOOSE(MONTH(G223),"Jan","Feb","Mar","Apr","May","Jun","Jul","Aug","Sep","Oct","Nov","Dec")</f>
        <v>Apr</v>
      </c>
      <c r="I223" s="54">
        <f ca="1">DATEDIF(G223,TODAY(),"Y")</f>
        <v>23</v>
      </c>
      <c r="J223" s="55" t="s">
        <v>257</v>
      </c>
      <c r="K223" s="56">
        <v>23320</v>
      </c>
      <c r="L223" s="57">
        <v>4</v>
      </c>
      <c r="M223" s="62">
        <f>ROUND(K223*P221+K223,0)</f>
        <v>23320</v>
      </c>
    </row>
    <row r="224" spans="1:34" x14ac:dyDescent="0.25">
      <c r="A224" s="42" t="s">
        <v>662</v>
      </c>
      <c r="B224" s="49" t="s">
        <v>285</v>
      </c>
      <c r="C224" s="42" t="s">
        <v>626</v>
      </c>
      <c r="D224" s="105">
        <v>443476169</v>
      </c>
      <c r="E224" s="105">
        <v>9195085809</v>
      </c>
      <c r="F224" s="42" t="s">
        <v>256</v>
      </c>
      <c r="G224" s="84">
        <f>33521+(364+182)</f>
        <v>34067</v>
      </c>
      <c r="H224" s="53" t="str">
        <f>CHOOSE(MONTH(G224),"Jan","Feb","Mar","Apr","May","Jun","Jul","Aug","Sep","Oct","Nov","Dec")</f>
        <v>Apr</v>
      </c>
      <c r="I224" s="54">
        <f ca="1">DATEDIF(G224,TODAY(),"Y")</f>
        <v>23</v>
      </c>
      <c r="J224" s="55" t="s">
        <v>267</v>
      </c>
      <c r="K224" s="56">
        <v>86540</v>
      </c>
      <c r="L224" s="57">
        <v>4</v>
      </c>
      <c r="M224" s="62">
        <f>ROUND(K224*P222+K224,0)</f>
        <v>86540</v>
      </c>
    </row>
    <row r="225" spans="1:15" x14ac:dyDescent="0.25">
      <c r="A225" s="42" t="s">
        <v>487</v>
      </c>
      <c r="B225" s="49" t="s">
        <v>280</v>
      </c>
      <c r="C225" s="42" t="s">
        <v>465</v>
      </c>
      <c r="D225" s="105">
        <v>487810878</v>
      </c>
      <c r="E225" s="105">
        <v>9194555389</v>
      </c>
      <c r="F225" s="42" t="s">
        <v>256</v>
      </c>
      <c r="G225" s="84">
        <f>33522+(364+182)</f>
        <v>34068</v>
      </c>
      <c r="H225" s="53" t="str">
        <f>CHOOSE(MONTH(G225),"Jan","Feb","Mar","Apr","May","Jun","Jul","Aug","Sep","Oct","Nov","Dec")</f>
        <v>Apr</v>
      </c>
      <c r="I225" s="54">
        <f ca="1">DATEDIF(G225,TODAY(),"Y")</f>
        <v>23</v>
      </c>
      <c r="J225" s="55" t="s">
        <v>283</v>
      </c>
      <c r="K225" s="56">
        <v>23330</v>
      </c>
      <c r="L225" s="57">
        <v>4</v>
      </c>
      <c r="M225" s="62">
        <f>ROUND(K225*P223+K225,0)</f>
        <v>23330</v>
      </c>
    </row>
    <row r="226" spans="1:15" x14ac:dyDescent="0.25">
      <c r="A226" s="42" t="s">
        <v>287</v>
      </c>
      <c r="B226" s="49" t="s">
        <v>271</v>
      </c>
      <c r="C226" s="42" t="s">
        <v>272</v>
      </c>
      <c r="D226" s="105">
        <v>202815919</v>
      </c>
      <c r="E226" s="105">
        <v>2528467597</v>
      </c>
      <c r="F226" s="42" t="s">
        <v>247</v>
      </c>
      <c r="G226" s="84">
        <f>33530+(364+182)</f>
        <v>34076</v>
      </c>
      <c r="H226" s="53" t="str">
        <f>CHOOSE(MONTH(G226),"Jan","Feb","Mar","Apr","May","Jun","Jul","Aug","Sep","Oct","Nov","Dec")</f>
        <v>Apr</v>
      </c>
      <c r="I226" s="54">
        <f ca="1">DATEDIF(G226,TODAY(),"Y")</f>
        <v>23</v>
      </c>
      <c r="J226" s="55"/>
      <c r="K226" s="56">
        <v>66580</v>
      </c>
      <c r="L226" s="57">
        <v>5</v>
      </c>
      <c r="M226" s="62">
        <f>ROUND(K226*P224+K226,0)</f>
        <v>66580</v>
      </c>
      <c r="N226" s="110"/>
      <c r="O226" s="107"/>
    </row>
    <row r="227" spans="1:15" x14ac:dyDescent="0.25">
      <c r="A227" s="42" t="s">
        <v>450</v>
      </c>
      <c r="B227" s="49" t="s">
        <v>285</v>
      </c>
      <c r="C227" s="42" t="s">
        <v>417</v>
      </c>
      <c r="D227" s="105">
        <v>302598687</v>
      </c>
      <c r="E227" s="105">
        <v>9195394899</v>
      </c>
      <c r="F227" s="42" t="s">
        <v>256</v>
      </c>
      <c r="G227" s="84">
        <f>33540+(364+182)</f>
        <v>34086</v>
      </c>
      <c r="H227" s="53" t="str">
        <f>CHOOSE(MONTH(G227),"Jan","Feb","Mar","Apr","May","Jun","Jul","Aug","Sep","Oct","Nov","Dec")</f>
        <v>Apr</v>
      </c>
      <c r="I227" s="54">
        <f ca="1">DATEDIF(G227,TODAY(),"Y")</f>
        <v>23</v>
      </c>
      <c r="J227" s="55" t="s">
        <v>257</v>
      </c>
      <c r="K227" s="56">
        <v>31840</v>
      </c>
      <c r="L227" s="57">
        <v>1</v>
      </c>
      <c r="M227" s="62">
        <f>ROUND(K227*P225+K227,0)</f>
        <v>31840</v>
      </c>
    </row>
    <row r="228" spans="1:15" x14ac:dyDescent="0.25">
      <c r="A228" s="42" t="s">
        <v>548</v>
      </c>
      <c r="B228" s="49" t="s">
        <v>271</v>
      </c>
      <c r="C228" s="42" t="s">
        <v>465</v>
      </c>
      <c r="D228" s="105">
        <v>219245495</v>
      </c>
      <c r="E228" s="105">
        <v>9198256039</v>
      </c>
      <c r="F228" s="42" t="s">
        <v>247</v>
      </c>
      <c r="G228" s="84">
        <f>33879+(364+182)</f>
        <v>34425</v>
      </c>
      <c r="H228" s="53" t="str">
        <f>CHOOSE(MONTH(G228),"Jan","Feb","Mar","Apr","May","Jun","Jul","Aug","Sep","Oct","Nov","Dec")</f>
        <v>Apr</v>
      </c>
      <c r="I228" s="54">
        <f ca="1">DATEDIF(G228,TODAY(),"Y")</f>
        <v>22</v>
      </c>
      <c r="J228" s="55"/>
      <c r="K228" s="56">
        <v>63310</v>
      </c>
      <c r="L228" s="57">
        <v>3</v>
      </c>
      <c r="M228" s="62">
        <f>ROUND(K228*P226+K228,0)</f>
        <v>63310</v>
      </c>
    </row>
    <row r="229" spans="1:15" x14ac:dyDescent="0.25">
      <c r="A229" s="42" t="s">
        <v>1004</v>
      </c>
      <c r="B229" s="49" t="s">
        <v>271</v>
      </c>
      <c r="C229" s="42" t="s">
        <v>930</v>
      </c>
      <c r="D229" s="105">
        <v>318723704</v>
      </c>
      <c r="E229" s="105">
        <v>9196526117</v>
      </c>
      <c r="F229" s="42" t="s">
        <v>256</v>
      </c>
      <c r="G229" s="84">
        <f>33879+(364+182)</f>
        <v>34425</v>
      </c>
      <c r="H229" s="53" t="str">
        <f>CHOOSE(MONTH(G229),"Jan","Feb","Mar","Apr","May","Jun","Jul","Aug","Sep","Oct","Nov","Dec")</f>
        <v>Apr</v>
      </c>
      <c r="I229" s="54">
        <f ca="1">DATEDIF(G229,TODAY(),"Y")</f>
        <v>22</v>
      </c>
      <c r="J229" s="55" t="s">
        <v>283</v>
      </c>
      <c r="K229" s="56">
        <v>73850</v>
      </c>
      <c r="L229" s="57">
        <v>2</v>
      </c>
      <c r="M229" s="62">
        <f>ROUND(K229*P227+K229,0)</f>
        <v>73850</v>
      </c>
    </row>
    <row r="230" spans="1:15" x14ac:dyDescent="0.25">
      <c r="A230" s="42" t="s">
        <v>831</v>
      </c>
      <c r="B230" s="49" t="s">
        <v>245</v>
      </c>
      <c r="C230" s="42" t="s">
        <v>767</v>
      </c>
      <c r="D230" s="105">
        <v>160184934</v>
      </c>
      <c r="E230" s="105">
        <v>9191191599</v>
      </c>
      <c r="F230" s="42" t="s">
        <v>261</v>
      </c>
      <c r="G230" s="84">
        <f>34247+(364+182)</f>
        <v>34793</v>
      </c>
      <c r="H230" s="53" t="str">
        <f>CHOOSE(MONTH(G230),"Jan","Feb","Mar","Apr","May","Jun","Jul","Aug","Sep","Oct","Nov","Dec")</f>
        <v>Apr</v>
      </c>
      <c r="I230" s="54">
        <f ca="1">DATEDIF(G230,TODAY(),"Y")</f>
        <v>21</v>
      </c>
      <c r="J230" s="55" t="s">
        <v>283</v>
      </c>
      <c r="K230" s="56">
        <v>10700</v>
      </c>
      <c r="L230" s="57">
        <v>4</v>
      </c>
      <c r="M230" s="62">
        <f>ROUND(K230*P228+K230,0)</f>
        <v>10700</v>
      </c>
    </row>
    <row r="231" spans="1:15" x14ac:dyDescent="0.25">
      <c r="A231" s="42" t="s">
        <v>916</v>
      </c>
      <c r="B231" s="49" t="s">
        <v>285</v>
      </c>
      <c r="C231" s="42" t="s">
        <v>856</v>
      </c>
      <c r="D231" s="105">
        <v>744830329</v>
      </c>
      <c r="E231" s="105">
        <v>9196098293</v>
      </c>
      <c r="F231" s="42" t="s">
        <v>256</v>
      </c>
      <c r="G231" s="84">
        <f>34254+(364+182)</f>
        <v>34800</v>
      </c>
      <c r="H231" s="53" t="str">
        <f>CHOOSE(MONTH(G231),"Jan","Feb","Mar","Apr","May","Jun","Jul","Aug","Sep","Oct","Nov","Dec")</f>
        <v>Apr</v>
      </c>
      <c r="I231" s="54">
        <f ca="1">DATEDIF(G231,TODAY(),"Y")</f>
        <v>21</v>
      </c>
      <c r="J231" s="55" t="s">
        <v>262</v>
      </c>
      <c r="K231" s="56">
        <v>82700</v>
      </c>
      <c r="L231" s="57">
        <v>3</v>
      </c>
      <c r="M231" s="62">
        <f>ROUND(K231*P229+K231,0)</f>
        <v>82700</v>
      </c>
    </row>
    <row r="232" spans="1:15" x14ac:dyDescent="0.25">
      <c r="A232" s="42" t="s">
        <v>701</v>
      </c>
      <c r="B232" s="49" t="s">
        <v>285</v>
      </c>
      <c r="C232" s="42" t="s">
        <v>700</v>
      </c>
      <c r="D232" s="105">
        <v>974912089</v>
      </c>
      <c r="E232" s="105">
        <v>9192601200</v>
      </c>
      <c r="F232" s="42" t="s">
        <v>256</v>
      </c>
      <c r="G232" s="84">
        <f>34268+(364+182)</f>
        <v>34814</v>
      </c>
      <c r="H232" s="53" t="str">
        <f>CHOOSE(MONTH(G232),"Jan","Feb","Mar","Apr","May","Jun","Jul","Aug","Sep","Oct","Nov","Dec")</f>
        <v>Apr</v>
      </c>
      <c r="I232" s="54">
        <f ca="1">DATEDIF(G232,TODAY(),"Y")</f>
        <v>21</v>
      </c>
      <c r="J232" s="55" t="s">
        <v>257</v>
      </c>
      <c r="K232" s="56">
        <v>63190</v>
      </c>
      <c r="L232" s="57">
        <v>1</v>
      </c>
      <c r="M232" s="62">
        <f>ROUND(K232*P230+K232,0)</f>
        <v>63190</v>
      </c>
    </row>
    <row r="233" spans="1:15" x14ac:dyDescent="0.25">
      <c r="A233" s="42" t="s">
        <v>599</v>
      </c>
      <c r="B233" s="49" t="s">
        <v>271</v>
      </c>
      <c r="C233" s="42" t="s">
        <v>465</v>
      </c>
      <c r="D233" s="105">
        <v>962553692</v>
      </c>
      <c r="E233" s="105">
        <v>9196689962</v>
      </c>
      <c r="F233" s="42" t="s">
        <v>256</v>
      </c>
      <c r="G233" s="84">
        <f>34610+(364+182)</f>
        <v>35156</v>
      </c>
      <c r="H233" s="53" t="str">
        <f>CHOOSE(MONTH(G233),"Jan","Feb","Mar","Apr","May","Jun","Jul","Aug","Sep","Oct","Nov","Dec")</f>
        <v>Apr</v>
      </c>
      <c r="I233" s="54">
        <f ca="1">DATEDIF(G233,TODAY(),"Y")</f>
        <v>20</v>
      </c>
      <c r="J233" s="55" t="s">
        <v>283</v>
      </c>
      <c r="K233" s="56">
        <v>86260</v>
      </c>
      <c r="L233" s="57">
        <v>3</v>
      </c>
      <c r="M233" s="62">
        <f>ROUND(K233*P231+K233,0)</f>
        <v>86260</v>
      </c>
    </row>
    <row r="234" spans="1:15" x14ac:dyDescent="0.25">
      <c r="A234" s="42" t="s">
        <v>366</v>
      </c>
      <c r="B234" s="49" t="s">
        <v>245</v>
      </c>
      <c r="C234" s="42" t="s">
        <v>312</v>
      </c>
      <c r="D234" s="105">
        <v>841913875</v>
      </c>
      <c r="E234" s="105">
        <v>2522511732</v>
      </c>
      <c r="F234" s="42" t="s">
        <v>247</v>
      </c>
      <c r="G234" s="84">
        <f>34614+(364+182)</f>
        <v>35160</v>
      </c>
      <c r="H234" s="53" t="str">
        <f>CHOOSE(MONTH(G234),"Jan","Feb","Mar","Apr","May","Jun","Jul","Aug","Sep","Oct","Nov","Dec")</f>
        <v>Apr</v>
      </c>
      <c r="I234" s="54">
        <f ca="1">DATEDIF(G234,TODAY(),"Y")</f>
        <v>20</v>
      </c>
      <c r="J234" s="55"/>
      <c r="K234" s="56">
        <v>50550</v>
      </c>
      <c r="L234" s="57">
        <v>2</v>
      </c>
      <c r="M234" s="62">
        <f>ROUND(K234*P232+K234,0)</f>
        <v>50550</v>
      </c>
    </row>
    <row r="235" spans="1:15" x14ac:dyDescent="0.25">
      <c r="A235" s="42" t="s">
        <v>827</v>
      </c>
      <c r="B235" s="49" t="s">
        <v>285</v>
      </c>
      <c r="C235" s="42" t="s">
        <v>767</v>
      </c>
      <c r="D235" s="105">
        <v>468234190</v>
      </c>
      <c r="E235" s="105">
        <v>2521569304</v>
      </c>
      <c r="F235" s="42" t="s">
        <v>256</v>
      </c>
      <c r="G235" s="84">
        <f>34623+(364+182)</f>
        <v>35169</v>
      </c>
      <c r="H235" s="53" t="str">
        <f>CHOOSE(MONTH(G235),"Jan","Feb","Mar","Apr","May","Jun","Jul","Aug","Sep","Oct","Nov","Dec")</f>
        <v>Apr</v>
      </c>
      <c r="I235" s="54">
        <f ca="1">DATEDIF(G235,TODAY(),"Y")</f>
        <v>20</v>
      </c>
      <c r="J235" s="55" t="s">
        <v>276</v>
      </c>
      <c r="K235" s="56">
        <v>72640</v>
      </c>
      <c r="L235" s="57">
        <v>3</v>
      </c>
      <c r="M235" s="62">
        <f>ROUND(K235*P233+K235,0)</f>
        <v>72640</v>
      </c>
    </row>
    <row r="236" spans="1:15" x14ac:dyDescent="0.25">
      <c r="A236" s="42" t="s">
        <v>530</v>
      </c>
      <c r="B236" s="49" t="s">
        <v>285</v>
      </c>
      <c r="C236" s="42" t="s">
        <v>465</v>
      </c>
      <c r="D236" s="105">
        <v>920477476</v>
      </c>
      <c r="E236" s="105">
        <v>2523162442</v>
      </c>
      <c r="F236" s="42" t="s">
        <v>247</v>
      </c>
      <c r="G236" s="84">
        <f>34639+(364+182)</f>
        <v>35185</v>
      </c>
      <c r="H236" s="53" t="str">
        <f>CHOOSE(MONTH(G236),"Jan","Feb","Mar","Apr","May","Jun","Jul","Aug","Sep","Oct","Nov","Dec")</f>
        <v>Apr</v>
      </c>
      <c r="I236" s="54">
        <f ca="1">DATEDIF(G236,TODAY(),"Y")</f>
        <v>20</v>
      </c>
      <c r="J236" s="55"/>
      <c r="K236" s="56">
        <v>24410</v>
      </c>
      <c r="L236" s="57">
        <v>3</v>
      </c>
      <c r="M236" s="62">
        <f>ROUND(K236*P234+K236,0)</f>
        <v>24410</v>
      </c>
    </row>
    <row r="237" spans="1:15" x14ac:dyDescent="0.25">
      <c r="A237" s="42" t="s">
        <v>513</v>
      </c>
      <c r="B237" s="49" t="s">
        <v>285</v>
      </c>
      <c r="C237" s="42" t="s">
        <v>465</v>
      </c>
      <c r="D237" s="105">
        <v>482927373</v>
      </c>
      <c r="E237" s="105">
        <v>9198413271</v>
      </c>
      <c r="F237" s="42" t="s">
        <v>256</v>
      </c>
      <c r="G237" s="84">
        <f>34980+(364+182)</f>
        <v>35526</v>
      </c>
      <c r="H237" s="53" t="str">
        <f>CHOOSE(MONTH(G237),"Jan","Feb","Mar","Apr","May","Jun","Jul","Aug","Sep","Oct","Nov","Dec")</f>
        <v>Apr</v>
      </c>
      <c r="I237" s="54">
        <f ca="1">DATEDIF(G237,TODAY(),"Y")</f>
        <v>19</v>
      </c>
      <c r="J237" s="55" t="s">
        <v>283</v>
      </c>
      <c r="K237" s="56">
        <v>32390</v>
      </c>
      <c r="L237" s="57">
        <v>2</v>
      </c>
      <c r="M237" s="62">
        <f>ROUND(K237*P235+K237,0)</f>
        <v>32390</v>
      </c>
    </row>
    <row r="238" spans="1:15" x14ac:dyDescent="0.25">
      <c r="A238" s="42" t="s">
        <v>797</v>
      </c>
      <c r="B238" s="49" t="s">
        <v>285</v>
      </c>
      <c r="C238" s="42" t="s">
        <v>767</v>
      </c>
      <c r="D238" s="105">
        <v>302170290</v>
      </c>
      <c r="E238" s="105">
        <v>9191971988</v>
      </c>
      <c r="F238" s="42" t="s">
        <v>256</v>
      </c>
      <c r="G238" s="84">
        <f>34982+(364+182)</f>
        <v>35528</v>
      </c>
      <c r="H238" s="53" t="str">
        <f>CHOOSE(MONTH(G238),"Jan","Feb","Mar","Apr","May","Jun","Jul","Aug","Sep","Oct","Nov","Dec")</f>
        <v>Apr</v>
      </c>
      <c r="I238" s="54">
        <f ca="1">DATEDIF(G238,TODAY(),"Y")</f>
        <v>19</v>
      </c>
      <c r="J238" s="55" t="s">
        <v>257</v>
      </c>
      <c r="K238" s="56">
        <v>63270</v>
      </c>
      <c r="L238" s="57">
        <v>1</v>
      </c>
      <c r="M238" s="62">
        <f>ROUND(K238*P236+K238,0)</f>
        <v>63270</v>
      </c>
    </row>
    <row r="239" spans="1:15" x14ac:dyDescent="0.25">
      <c r="A239" s="42" t="s">
        <v>533</v>
      </c>
      <c r="B239" s="49" t="s">
        <v>280</v>
      </c>
      <c r="C239" s="42" t="s">
        <v>465</v>
      </c>
      <c r="D239" s="105">
        <v>350104448</v>
      </c>
      <c r="E239" s="105">
        <v>9193883356</v>
      </c>
      <c r="F239" s="42" t="s">
        <v>256</v>
      </c>
      <c r="G239" s="84">
        <f>34983+(364+182)</f>
        <v>35529</v>
      </c>
      <c r="H239" s="53" t="str">
        <f>CHOOSE(MONTH(G239),"Jan","Feb","Mar","Apr","May","Jun","Jul","Aug","Sep","Oct","Nov","Dec")</f>
        <v>Apr</v>
      </c>
      <c r="I239" s="54">
        <f ca="1">DATEDIF(G239,TODAY(),"Y")</f>
        <v>19</v>
      </c>
      <c r="J239" s="55" t="s">
        <v>267</v>
      </c>
      <c r="K239" s="56">
        <v>44920</v>
      </c>
      <c r="L239" s="57">
        <v>1</v>
      </c>
      <c r="M239" s="62">
        <f>ROUND(K239*P237+K239,0)</f>
        <v>44920</v>
      </c>
    </row>
    <row r="240" spans="1:15" x14ac:dyDescent="0.25">
      <c r="A240" s="42" t="s">
        <v>798</v>
      </c>
      <c r="B240" s="49" t="s">
        <v>245</v>
      </c>
      <c r="C240" s="42" t="s">
        <v>767</v>
      </c>
      <c r="D240" s="105">
        <v>643979374</v>
      </c>
      <c r="E240" s="105">
        <v>2521230519</v>
      </c>
      <c r="F240" s="42" t="s">
        <v>247</v>
      </c>
      <c r="G240" s="84">
        <f>34995+(364+182)</f>
        <v>35541</v>
      </c>
      <c r="H240" s="53" t="str">
        <f>CHOOSE(MONTH(G240),"Jan","Feb","Mar","Apr","May","Jun","Jul","Aug","Sep","Oct","Nov","Dec")</f>
        <v>Apr</v>
      </c>
      <c r="I240" s="54">
        <f ca="1">DATEDIF(G240,TODAY(),"Y")</f>
        <v>19</v>
      </c>
      <c r="J240" s="55"/>
      <c r="K240" s="56">
        <v>49530</v>
      </c>
      <c r="L240" s="57">
        <v>4</v>
      </c>
      <c r="M240" s="62">
        <f>ROUND(K240*P238+K240,0)</f>
        <v>49530</v>
      </c>
    </row>
    <row r="241" spans="1:34" x14ac:dyDescent="0.25">
      <c r="A241" s="42" t="s">
        <v>663</v>
      </c>
      <c r="B241" s="49" t="s">
        <v>285</v>
      </c>
      <c r="C241" s="42" t="s">
        <v>626</v>
      </c>
      <c r="D241" s="105">
        <v>983891302</v>
      </c>
      <c r="E241" s="105">
        <v>9191462245</v>
      </c>
      <c r="F241" s="42" t="s">
        <v>256</v>
      </c>
      <c r="G241" s="84">
        <f>35001+(364+182)</f>
        <v>35547</v>
      </c>
      <c r="H241" s="53" t="str">
        <f>CHOOSE(MONTH(G241),"Jan","Feb","Mar","Apr","May","Jun","Jul","Aug","Sep","Oct","Nov","Dec")</f>
        <v>Apr</v>
      </c>
      <c r="I241" s="54">
        <f ca="1">DATEDIF(G241,TODAY(),"Y")</f>
        <v>19</v>
      </c>
      <c r="J241" s="55" t="s">
        <v>257</v>
      </c>
      <c r="K241" s="56">
        <v>81640</v>
      </c>
      <c r="L241" s="57">
        <v>4</v>
      </c>
      <c r="M241" s="62">
        <f>ROUND(K241*P239+K241,0)</f>
        <v>81640</v>
      </c>
    </row>
    <row r="242" spans="1:34" s="87" customFormat="1" x14ac:dyDescent="0.25">
      <c r="A242" s="42" t="s">
        <v>886</v>
      </c>
      <c r="B242" s="49" t="s">
        <v>285</v>
      </c>
      <c r="C242" s="42" t="s">
        <v>856</v>
      </c>
      <c r="D242" s="105">
        <v>331251341</v>
      </c>
      <c r="E242" s="105">
        <v>2528678875</v>
      </c>
      <c r="F242" s="42" t="s">
        <v>256</v>
      </c>
      <c r="G242" s="84">
        <f>35350+(364+182)</f>
        <v>35896</v>
      </c>
      <c r="H242" s="53" t="str">
        <f>CHOOSE(MONTH(G242),"Jan","Feb","Mar","Apr","May","Jun","Jul","Aug","Sep","Oct","Nov","Dec")</f>
        <v>Apr</v>
      </c>
      <c r="I242" s="54">
        <f ca="1">DATEDIF(G242,TODAY(),"Y")</f>
        <v>18</v>
      </c>
      <c r="J242" s="55" t="s">
        <v>283</v>
      </c>
      <c r="K242" s="56">
        <v>70280</v>
      </c>
      <c r="L242" s="57">
        <v>3</v>
      </c>
      <c r="M242" s="62">
        <f>ROUND(K242*P240+K242,0)</f>
        <v>70280</v>
      </c>
      <c r="N242" s="103"/>
      <c r="O242" s="48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</row>
    <row r="243" spans="1:34" s="87" customFormat="1" x14ac:dyDescent="0.25">
      <c r="A243" s="42" t="s">
        <v>336</v>
      </c>
      <c r="B243" s="49" t="s">
        <v>271</v>
      </c>
      <c r="C243" s="42" t="s">
        <v>312</v>
      </c>
      <c r="D243" s="105">
        <v>504735443</v>
      </c>
      <c r="E243" s="105">
        <v>9191629556</v>
      </c>
      <c r="F243" s="42" t="s">
        <v>247</v>
      </c>
      <c r="G243" s="84">
        <f>35356+(364+182)</f>
        <v>35902</v>
      </c>
      <c r="H243" s="53" t="str">
        <f>CHOOSE(MONTH(G243),"Jan","Feb","Mar","Apr","May","Jun","Jul","Aug","Sep","Oct","Nov","Dec")</f>
        <v>Apr</v>
      </c>
      <c r="I243" s="54">
        <f ca="1">DATEDIF(G243,TODAY(),"Y")</f>
        <v>18</v>
      </c>
      <c r="J243" s="55"/>
      <c r="K243" s="56">
        <v>63340</v>
      </c>
      <c r="L243" s="57">
        <v>3</v>
      </c>
      <c r="M243" s="62">
        <f>ROUND(K243*P241+K243,0)</f>
        <v>63340</v>
      </c>
      <c r="N243" s="103"/>
      <c r="O243" s="48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</row>
    <row r="244" spans="1:34" s="87" customFormat="1" x14ac:dyDescent="0.25">
      <c r="A244" s="42" t="s">
        <v>718</v>
      </c>
      <c r="B244" s="49" t="s">
        <v>285</v>
      </c>
      <c r="C244" s="42" t="s">
        <v>705</v>
      </c>
      <c r="D244" s="105">
        <v>248820119</v>
      </c>
      <c r="E244" s="105">
        <v>2521711684</v>
      </c>
      <c r="F244" s="42" t="s">
        <v>256</v>
      </c>
      <c r="G244" s="84">
        <f>35357+(364+182)</f>
        <v>35903</v>
      </c>
      <c r="H244" s="53" t="str">
        <f>CHOOSE(MONTH(G244),"Jan","Feb","Mar","Apr","May","Jun","Jul","Aug","Sep","Oct","Nov","Dec")</f>
        <v>Apr</v>
      </c>
      <c r="I244" s="54">
        <f ca="1">DATEDIF(G244,TODAY(),"Y")</f>
        <v>18</v>
      </c>
      <c r="J244" s="55" t="s">
        <v>257</v>
      </c>
      <c r="K244" s="56">
        <v>68520</v>
      </c>
      <c r="L244" s="57">
        <v>5</v>
      </c>
      <c r="M244" s="62">
        <f>ROUND(K244*P242+K244,0)</f>
        <v>68520</v>
      </c>
      <c r="N244" s="103"/>
      <c r="O244" s="48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</row>
    <row r="245" spans="1:34" s="87" customFormat="1" x14ac:dyDescent="0.25">
      <c r="A245" s="42" t="s">
        <v>292</v>
      </c>
      <c r="B245" s="49" t="s">
        <v>285</v>
      </c>
      <c r="C245" s="42" t="s">
        <v>272</v>
      </c>
      <c r="D245" s="105">
        <v>542051793</v>
      </c>
      <c r="E245" s="105">
        <v>2527317354</v>
      </c>
      <c r="F245" s="42" t="s">
        <v>256</v>
      </c>
      <c r="G245" s="84">
        <f>35714+(364+182)</f>
        <v>36260</v>
      </c>
      <c r="H245" s="53" t="str">
        <f>CHOOSE(MONTH(G245),"Jan","Feb","Mar","Apr","May","Jun","Jul","Aug","Sep","Oct","Nov","Dec")</f>
        <v>Apr</v>
      </c>
      <c r="I245" s="54">
        <f ca="1">DATEDIF(G245,TODAY(),"Y")</f>
        <v>17</v>
      </c>
      <c r="J245" s="55" t="s">
        <v>257</v>
      </c>
      <c r="K245" s="56">
        <v>75150</v>
      </c>
      <c r="L245" s="57">
        <v>1</v>
      </c>
      <c r="M245" s="62">
        <f>ROUND(K245*P243+K245,0)</f>
        <v>75150</v>
      </c>
      <c r="N245" s="103"/>
      <c r="O245" s="48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</row>
    <row r="246" spans="1:34" s="87" customFormat="1" x14ac:dyDescent="0.25">
      <c r="A246" s="42" t="s">
        <v>436</v>
      </c>
      <c r="B246" s="49" t="s">
        <v>280</v>
      </c>
      <c r="C246" s="42" t="s">
        <v>417</v>
      </c>
      <c r="D246" s="105">
        <v>279591317</v>
      </c>
      <c r="E246" s="105">
        <v>2522381391</v>
      </c>
      <c r="F246" s="42" t="s">
        <v>252</v>
      </c>
      <c r="G246" s="84">
        <f>35717+(364+182)</f>
        <v>36263</v>
      </c>
      <c r="H246" s="53" t="str">
        <f>CHOOSE(MONTH(G246),"Jan","Feb","Mar","Apr","May","Jun","Jul","Aug","Sep","Oct","Nov","Dec")</f>
        <v>Apr</v>
      </c>
      <c r="I246" s="54">
        <f ca="1">DATEDIF(G246,TODAY(),"Y")</f>
        <v>17</v>
      </c>
      <c r="J246" s="55"/>
      <c r="K246" s="56">
        <v>38768</v>
      </c>
      <c r="L246" s="57">
        <v>4</v>
      </c>
      <c r="M246" s="62">
        <f>ROUND(K246*P244+K246,0)</f>
        <v>38768</v>
      </c>
      <c r="N246" s="103"/>
      <c r="O246" s="48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</row>
    <row r="247" spans="1:34" s="87" customFormat="1" x14ac:dyDescent="0.25">
      <c r="A247" s="42" t="s">
        <v>409</v>
      </c>
      <c r="B247" s="49" t="s">
        <v>285</v>
      </c>
      <c r="C247" s="42" t="s">
        <v>391</v>
      </c>
      <c r="D247" s="105">
        <v>694800128</v>
      </c>
      <c r="E247" s="105">
        <v>9197111802</v>
      </c>
      <c r="F247" s="42" t="s">
        <v>256</v>
      </c>
      <c r="G247" s="84">
        <f>35723+(364+182)</f>
        <v>36269</v>
      </c>
      <c r="H247" s="53" t="str">
        <f>CHOOSE(MONTH(G247),"Jan","Feb","Mar","Apr","May","Jun","Jul","Aug","Sep","Oct","Nov","Dec")</f>
        <v>Apr</v>
      </c>
      <c r="I247" s="54">
        <f ca="1">DATEDIF(G247,TODAY(),"Y")</f>
        <v>17</v>
      </c>
      <c r="J247" s="55" t="s">
        <v>283</v>
      </c>
      <c r="K247" s="56">
        <v>61330</v>
      </c>
      <c r="L247" s="57">
        <v>1</v>
      </c>
      <c r="M247" s="62">
        <f>ROUND(K247*P245+K247,0)</f>
        <v>61330</v>
      </c>
      <c r="N247" s="103"/>
      <c r="O247" s="48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</row>
    <row r="248" spans="1:34" s="87" customFormat="1" x14ac:dyDescent="0.25">
      <c r="A248" s="42" t="s">
        <v>517</v>
      </c>
      <c r="B248" s="49" t="s">
        <v>271</v>
      </c>
      <c r="C248" s="42" t="s">
        <v>465</v>
      </c>
      <c r="D248" s="105">
        <v>984570981</v>
      </c>
      <c r="E248" s="105">
        <v>2528155179</v>
      </c>
      <c r="F248" s="42" t="s">
        <v>261</v>
      </c>
      <c r="G248" s="84">
        <f>35723+(364+182)</f>
        <v>36269</v>
      </c>
      <c r="H248" s="53" t="str">
        <f>CHOOSE(MONTH(G248),"Jan","Feb","Mar","Apr","May","Jun","Jul","Aug","Sep","Oct","Nov","Dec")</f>
        <v>Apr</v>
      </c>
      <c r="I248" s="54">
        <f ca="1">DATEDIF(G248,TODAY(),"Y")</f>
        <v>17</v>
      </c>
      <c r="J248" s="55" t="s">
        <v>283</v>
      </c>
      <c r="K248" s="56">
        <v>48190</v>
      </c>
      <c r="L248" s="57">
        <v>1</v>
      </c>
      <c r="M248" s="62">
        <f>ROUND(K248*P246+K248,0)</f>
        <v>48190</v>
      </c>
      <c r="N248" s="103"/>
      <c r="O248" s="48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</row>
    <row r="249" spans="1:34" s="87" customFormat="1" x14ac:dyDescent="0.25">
      <c r="A249" s="42" t="s">
        <v>616</v>
      </c>
      <c r="B249" s="49" t="s">
        <v>271</v>
      </c>
      <c r="C249" s="42" t="s">
        <v>465</v>
      </c>
      <c r="D249" s="105">
        <v>931105030</v>
      </c>
      <c r="E249" s="105">
        <v>9191397811</v>
      </c>
      <c r="F249" s="42" t="s">
        <v>256</v>
      </c>
      <c r="G249" s="84">
        <f>35727+(364+182)</f>
        <v>36273</v>
      </c>
      <c r="H249" s="53" t="str">
        <f>CHOOSE(MONTH(G249),"Jan","Feb","Mar","Apr","May","Jun","Jul","Aug","Sep","Oct","Nov","Dec")</f>
        <v>Apr</v>
      </c>
      <c r="I249" s="54">
        <f ca="1">DATEDIF(G249,TODAY(),"Y")</f>
        <v>17</v>
      </c>
      <c r="J249" s="55" t="s">
        <v>283</v>
      </c>
      <c r="K249" s="56">
        <v>61330</v>
      </c>
      <c r="L249" s="57">
        <v>4</v>
      </c>
      <c r="M249" s="62">
        <f>ROUND(K249*P247+K249,0)</f>
        <v>61330</v>
      </c>
      <c r="N249" s="103"/>
      <c r="O249" s="48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</row>
    <row r="250" spans="1:34" s="87" customFormat="1" x14ac:dyDescent="0.25">
      <c r="A250" s="42" t="s">
        <v>297</v>
      </c>
      <c r="B250" s="49" t="s">
        <v>245</v>
      </c>
      <c r="C250" s="42" t="s">
        <v>296</v>
      </c>
      <c r="D250" s="105">
        <v>515543972</v>
      </c>
      <c r="E250" s="105">
        <v>9193539483</v>
      </c>
      <c r="F250" s="42" t="s">
        <v>256</v>
      </c>
      <c r="G250" s="84">
        <f>36073+(364+182)</f>
        <v>36619</v>
      </c>
      <c r="H250" s="53" t="str">
        <f>CHOOSE(MONTH(G250),"Jan","Feb","Mar","Apr","May","Jun","Jul","Aug","Sep","Oct","Nov","Dec")</f>
        <v>Apr</v>
      </c>
      <c r="I250" s="54">
        <f ca="1">DATEDIF(G250,TODAY(),"Y")</f>
        <v>16</v>
      </c>
      <c r="J250" s="55" t="s">
        <v>267</v>
      </c>
      <c r="K250" s="56">
        <v>56440</v>
      </c>
      <c r="L250" s="57">
        <v>1</v>
      </c>
      <c r="M250" s="62">
        <f>ROUND(K250*P248+K250,0)</f>
        <v>56440</v>
      </c>
      <c r="N250" s="103"/>
      <c r="O250" s="48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</row>
    <row r="251" spans="1:34" s="87" customFormat="1" x14ac:dyDescent="0.25">
      <c r="A251" s="42" t="s">
        <v>1020</v>
      </c>
      <c r="B251" s="49" t="s">
        <v>285</v>
      </c>
      <c r="C251" s="42" t="s">
        <v>930</v>
      </c>
      <c r="D251" s="105">
        <v>186346711</v>
      </c>
      <c r="E251" s="105">
        <v>9194900514</v>
      </c>
      <c r="F251" s="42" t="s">
        <v>256</v>
      </c>
      <c r="G251" s="84">
        <f>36073+(364+182)</f>
        <v>36619</v>
      </c>
      <c r="H251" s="53" t="str">
        <f>CHOOSE(MONTH(G251),"Jan","Feb","Mar","Apr","May","Jun","Jul","Aug","Sep","Oct","Nov","Dec")</f>
        <v>Apr</v>
      </c>
      <c r="I251" s="54">
        <f ca="1">DATEDIF(G251,TODAY(),"Y")</f>
        <v>16</v>
      </c>
      <c r="J251" s="55" t="s">
        <v>262</v>
      </c>
      <c r="K251" s="56">
        <v>71970</v>
      </c>
      <c r="L251" s="57">
        <v>4</v>
      </c>
      <c r="M251" s="62">
        <f>ROUND(K251*P249+K251,0)</f>
        <v>71970</v>
      </c>
      <c r="N251" s="103"/>
      <c r="O251" s="48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</row>
    <row r="252" spans="1:34" s="87" customFormat="1" x14ac:dyDescent="0.25">
      <c r="A252" s="42" t="s">
        <v>735</v>
      </c>
      <c r="B252" s="49" t="s">
        <v>271</v>
      </c>
      <c r="C252" s="42" t="s">
        <v>705</v>
      </c>
      <c r="D252" s="105">
        <v>960967007</v>
      </c>
      <c r="E252" s="105">
        <v>9194694995</v>
      </c>
      <c r="F252" s="42" t="s">
        <v>247</v>
      </c>
      <c r="G252" s="84">
        <f>36077+(364+182)</f>
        <v>36623</v>
      </c>
      <c r="H252" s="53" t="str">
        <f>CHOOSE(MONTH(G252),"Jan","Feb","Mar","Apr","May","Jun","Jul","Aug","Sep","Oct","Nov","Dec")</f>
        <v>Apr</v>
      </c>
      <c r="I252" s="54">
        <f ca="1">DATEDIF(G252,TODAY(),"Y")</f>
        <v>16</v>
      </c>
      <c r="J252" s="55"/>
      <c r="K252" s="56">
        <v>30300</v>
      </c>
      <c r="L252" s="57">
        <v>1</v>
      </c>
      <c r="M252" s="62">
        <f>ROUND(K252*P250+K252,0)</f>
        <v>30300</v>
      </c>
      <c r="N252" s="103"/>
      <c r="O252" s="48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</row>
    <row r="253" spans="1:34" s="87" customFormat="1" x14ac:dyDescent="0.25">
      <c r="A253" s="42" t="s">
        <v>594</v>
      </c>
      <c r="B253" s="49" t="s">
        <v>271</v>
      </c>
      <c r="C253" s="42" t="s">
        <v>465</v>
      </c>
      <c r="D253" s="105">
        <v>257249459</v>
      </c>
      <c r="E253" s="105">
        <v>9197775023</v>
      </c>
      <c r="F253" s="42" t="s">
        <v>247</v>
      </c>
      <c r="G253" s="84">
        <f>36091+(364+182)</f>
        <v>36637</v>
      </c>
      <c r="H253" s="53" t="str">
        <f>CHOOSE(MONTH(G253),"Jan","Feb","Mar","Apr","May","Jun","Jul","Aug","Sep","Oct","Nov","Dec")</f>
        <v>Apr</v>
      </c>
      <c r="I253" s="54">
        <f ca="1">DATEDIF(G253,TODAY(),"Y")</f>
        <v>16</v>
      </c>
      <c r="J253" s="55"/>
      <c r="K253" s="56">
        <v>57600</v>
      </c>
      <c r="L253" s="57">
        <v>3</v>
      </c>
      <c r="M253" s="62">
        <f>ROUND(K253*P251+K253,0)</f>
        <v>57600</v>
      </c>
      <c r="N253" s="103"/>
      <c r="O253" s="48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</row>
    <row r="254" spans="1:34" s="87" customFormat="1" x14ac:dyDescent="0.25">
      <c r="A254" s="42" t="s">
        <v>882</v>
      </c>
      <c r="B254" s="49" t="s">
        <v>271</v>
      </c>
      <c r="C254" s="42" t="s">
        <v>856</v>
      </c>
      <c r="D254" s="105">
        <v>975857784</v>
      </c>
      <c r="E254" s="105">
        <v>9192390604</v>
      </c>
      <c r="F254" s="42" t="s">
        <v>247</v>
      </c>
      <c r="G254" s="84">
        <f>36096+(364+182)</f>
        <v>36642</v>
      </c>
      <c r="H254" s="53" t="str">
        <f>CHOOSE(MONTH(G254),"Jan","Feb","Mar","Apr","May","Jun","Jul","Aug","Sep","Oct","Nov","Dec")</f>
        <v>Apr</v>
      </c>
      <c r="I254" s="54">
        <f ca="1">DATEDIF(G254,TODAY(),"Y")</f>
        <v>16</v>
      </c>
      <c r="J254" s="55"/>
      <c r="K254" s="56">
        <v>77760</v>
      </c>
      <c r="L254" s="57">
        <v>3</v>
      </c>
      <c r="M254" s="62">
        <f>ROUND(K254*P252+K254,0)</f>
        <v>77760</v>
      </c>
      <c r="N254" s="103"/>
      <c r="O254" s="48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</row>
    <row r="255" spans="1:34" s="87" customFormat="1" x14ac:dyDescent="0.25">
      <c r="A255" s="42" t="s">
        <v>433</v>
      </c>
      <c r="B255" s="49" t="s">
        <v>245</v>
      </c>
      <c r="C255" s="42" t="s">
        <v>417</v>
      </c>
      <c r="D255" s="105">
        <v>429283827</v>
      </c>
      <c r="E255" s="105">
        <v>9195508095</v>
      </c>
      <c r="F255" s="42" t="s">
        <v>256</v>
      </c>
      <c r="G255" s="84">
        <f>36097+(364+182)</f>
        <v>36643</v>
      </c>
      <c r="H255" s="53" t="str">
        <f>CHOOSE(MONTH(G255),"Jan","Feb","Mar","Apr","May","Jun","Jul","Aug","Sep","Oct","Nov","Dec")</f>
        <v>Apr</v>
      </c>
      <c r="I255" s="54">
        <f ca="1">DATEDIF(G255,TODAY(),"Y")</f>
        <v>16</v>
      </c>
      <c r="J255" s="55" t="s">
        <v>283</v>
      </c>
      <c r="K255" s="56">
        <v>71380</v>
      </c>
      <c r="L255" s="57">
        <v>2</v>
      </c>
      <c r="M255" s="62">
        <f>ROUND(K255*P253+K255,0)</f>
        <v>71380</v>
      </c>
      <c r="N255" s="103"/>
      <c r="O255" s="48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</row>
    <row r="256" spans="1:34" s="87" customFormat="1" x14ac:dyDescent="0.25">
      <c r="A256" s="42" t="s">
        <v>1028</v>
      </c>
      <c r="B256" s="49" t="s">
        <v>271</v>
      </c>
      <c r="C256" s="42" t="s">
        <v>1025</v>
      </c>
      <c r="D256" s="105">
        <v>510700395</v>
      </c>
      <c r="E256" s="105">
        <v>9196690862</v>
      </c>
      <c r="F256" s="42" t="s">
        <v>256</v>
      </c>
      <c r="G256" s="84">
        <f>36445+(364+182)</f>
        <v>36991</v>
      </c>
      <c r="H256" s="53" t="str">
        <f>CHOOSE(MONTH(G256),"Jan","Feb","Mar","Apr","May","Jun","Jul","Aug","Sep","Oct","Nov","Dec")</f>
        <v>Apr</v>
      </c>
      <c r="I256" s="54">
        <f ca="1">DATEDIF(G256,TODAY(),"Y")</f>
        <v>15</v>
      </c>
      <c r="J256" s="55" t="s">
        <v>257</v>
      </c>
      <c r="K256" s="56">
        <v>63670</v>
      </c>
      <c r="L256" s="57">
        <v>5</v>
      </c>
      <c r="M256" s="62">
        <f>ROUND(K256*P254+K256,0)</f>
        <v>63670</v>
      </c>
      <c r="N256" s="103"/>
      <c r="O256" s="48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</row>
    <row r="257" spans="1:34" s="87" customFormat="1" x14ac:dyDescent="0.25">
      <c r="A257" s="42" t="s">
        <v>356</v>
      </c>
      <c r="B257" s="49" t="s">
        <v>285</v>
      </c>
      <c r="C257" s="42" t="s">
        <v>312</v>
      </c>
      <c r="D257" s="105">
        <v>411058865</v>
      </c>
      <c r="E257" s="105">
        <v>2523883919</v>
      </c>
      <c r="F257" s="42" t="s">
        <v>256</v>
      </c>
      <c r="G257" s="84">
        <f>36462+(364+182)</f>
        <v>37008</v>
      </c>
      <c r="H257" s="53" t="str">
        <f>CHOOSE(MONTH(G257),"Jan","Feb","Mar","Apr","May","Jun","Jul","Aug","Sep","Oct","Nov","Dec")</f>
        <v>Apr</v>
      </c>
      <c r="I257" s="54">
        <f ca="1">DATEDIF(G257,TODAY(),"Y")</f>
        <v>15</v>
      </c>
      <c r="J257" s="55" t="s">
        <v>257</v>
      </c>
      <c r="K257" s="56">
        <v>27180</v>
      </c>
      <c r="L257" s="57">
        <v>4</v>
      </c>
      <c r="M257" s="62">
        <f>ROUND(K257*P255+K257,0)</f>
        <v>27180</v>
      </c>
      <c r="N257" s="103"/>
      <c r="O257" s="48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</row>
    <row r="258" spans="1:34" s="87" customFormat="1" x14ac:dyDescent="0.25">
      <c r="A258" s="42" t="s">
        <v>998</v>
      </c>
      <c r="B258" s="49" t="s">
        <v>251</v>
      </c>
      <c r="C258" s="42" t="s">
        <v>930</v>
      </c>
      <c r="D258" s="105">
        <v>759471070</v>
      </c>
      <c r="E258" s="105">
        <v>2525402828</v>
      </c>
      <c r="F258" s="42" t="s">
        <v>256</v>
      </c>
      <c r="G258" s="84">
        <f>36463+(364+182)</f>
        <v>37009</v>
      </c>
      <c r="H258" s="53" t="str">
        <f>CHOOSE(MONTH(G258),"Jan","Feb","Mar","Apr","May","Jun","Jul","Aug","Sep","Oct","Nov","Dec")</f>
        <v>Apr</v>
      </c>
      <c r="I258" s="54">
        <f ca="1">DATEDIF(G258,TODAY(),"Y")</f>
        <v>15</v>
      </c>
      <c r="J258" s="55" t="s">
        <v>283</v>
      </c>
      <c r="K258" s="56">
        <v>78710</v>
      </c>
      <c r="L258" s="57">
        <v>2</v>
      </c>
      <c r="M258" s="62">
        <f>ROUND(K258*P256+K258,0)</f>
        <v>78710</v>
      </c>
      <c r="N258" s="103"/>
      <c r="O258" s="48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</row>
    <row r="259" spans="1:34" s="87" customFormat="1" x14ac:dyDescent="0.25">
      <c r="A259" s="42" t="s">
        <v>329</v>
      </c>
      <c r="B259" s="49" t="s">
        <v>285</v>
      </c>
      <c r="C259" s="42" t="s">
        <v>312</v>
      </c>
      <c r="D259" s="105">
        <v>333947685</v>
      </c>
      <c r="E259" s="105">
        <v>9198314799</v>
      </c>
      <c r="F259" s="42" t="s">
        <v>256</v>
      </c>
      <c r="G259" s="84">
        <f>36802+(364+182)</f>
        <v>37348</v>
      </c>
      <c r="H259" s="53" t="str">
        <f>CHOOSE(MONTH(G259),"Jan","Feb","Mar","Apr","May","Jun","Jul","Aug","Sep","Oct","Nov","Dec")</f>
        <v>Apr</v>
      </c>
      <c r="I259" s="54">
        <f ca="1">DATEDIF(G259,TODAY(),"Y")</f>
        <v>14</v>
      </c>
      <c r="J259" s="55" t="s">
        <v>262</v>
      </c>
      <c r="K259" s="56">
        <v>85880</v>
      </c>
      <c r="L259" s="57">
        <v>3</v>
      </c>
      <c r="M259" s="62">
        <f>ROUND(K259*P257+K259,0)</f>
        <v>85880</v>
      </c>
      <c r="N259" s="103"/>
      <c r="O259" s="48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</row>
    <row r="260" spans="1:34" s="87" customFormat="1" x14ac:dyDescent="0.25">
      <c r="A260" s="42" t="s">
        <v>506</v>
      </c>
      <c r="B260" s="49" t="s">
        <v>285</v>
      </c>
      <c r="C260" s="42" t="s">
        <v>465</v>
      </c>
      <c r="D260" s="105">
        <v>167058119</v>
      </c>
      <c r="E260" s="105">
        <v>2527237007</v>
      </c>
      <c r="F260" s="42" t="s">
        <v>252</v>
      </c>
      <c r="G260" s="84">
        <f>37184+(364+182)</f>
        <v>37730</v>
      </c>
      <c r="H260" s="53" t="str">
        <f>CHOOSE(MONTH(G260),"Jan","Feb","Mar","Apr","May","Jun","Jul","Aug","Sep","Oct","Nov","Dec")</f>
        <v>Apr</v>
      </c>
      <c r="I260" s="54">
        <f ca="1">DATEDIF(G260,TODAY(),"Y")</f>
        <v>13</v>
      </c>
      <c r="J260" s="55"/>
      <c r="K260" s="56">
        <v>8892</v>
      </c>
      <c r="L260" s="57">
        <v>1</v>
      </c>
      <c r="M260" s="62">
        <f>ROUND(K260*P258+K260,0)</f>
        <v>8892</v>
      </c>
      <c r="N260" s="103"/>
      <c r="O260" s="48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</row>
    <row r="261" spans="1:34" s="87" customFormat="1" x14ac:dyDescent="0.25">
      <c r="A261" s="42" t="s">
        <v>525</v>
      </c>
      <c r="B261" s="49" t="s">
        <v>245</v>
      </c>
      <c r="C261" s="42" t="s">
        <v>465</v>
      </c>
      <c r="D261" s="105">
        <v>561968668</v>
      </c>
      <c r="E261" s="105">
        <v>2522433774</v>
      </c>
      <c r="F261" s="42" t="s">
        <v>256</v>
      </c>
      <c r="G261" s="84">
        <f>38263+(364+182)</f>
        <v>38809</v>
      </c>
      <c r="H261" s="53" t="str">
        <f>CHOOSE(MONTH(G261),"Jan","Feb","Mar","Apr","May","Jun","Jul","Aug","Sep","Oct","Nov","Dec")</f>
        <v>Apr</v>
      </c>
      <c r="I261" s="54">
        <f ca="1">DATEDIF(G261,TODAY(),"Y")</f>
        <v>10</v>
      </c>
      <c r="J261" s="55" t="s">
        <v>262</v>
      </c>
      <c r="K261" s="56">
        <v>76584</v>
      </c>
      <c r="L261" s="57">
        <v>1</v>
      </c>
      <c r="M261" s="62">
        <f>ROUND(K261*P259+K261,0)</f>
        <v>76584</v>
      </c>
      <c r="N261" s="103"/>
      <c r="O261" s="48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</row>
    <row r="262" spans="1:34" s="87" customFormat="1" x14ac:dyDescent="0.25">
      <c r="A262" s="42" t="s">
        <v>549</v>
      </c>
      <c r="B262" s="49" t="s">
        <v>285</v>
      </c>
      <c r="C262" s="42" t="s">
        <v>465</v>
      </c>
      <c r="D262" s="105">
        <v>914330398</v>
      </c>
      <c r="E262" s="105">
        <v>9193498222</v>
      </c>
      <c r="F262" s="42" t="s">
        <v>256</v>
      </c>
      <c r="G262" s="84">
        <f>38275+(364+182)</f>
        <v>38821</v>
      </c>
      <c r="H262" s="53" t="str">
        <f>CHOOSE(MONTH(G262),"Jan","Feb","Mar","Apr","May","Jun","Jul","Aug","Sep","Oct","Nov","Dec")</f>
        <v>Apr</v>
      </c>
      <c r="I262" s="54">
        <f ca="1">DATEDIF(G262,TODAY(),"Y")</f>
        <v>10</v>
      </c>
      <c r="J262" s="55" t="s">
        <v>283</v>
      </c>
      <c r="K262" s="56">
        <v>65720</v>
      </c>
      <c r="L262" s="57">
        <v>1</v>
      </c>
      <c r="M262" s="62">
        <f>ROUND(K262*P260+K262,0)</f>
        <v>65720</v>
      </c>
      <c r="N262" s="103"/>
      <c r="O262" s="48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</row>
    <row r="263" spans="1:34" s="87" customFormat="1" x14ac:dyDescent="0.25">
      <c r="A263" s="42" t="s">
        <v>531</v>
      </c>
      <c r="B263" s="49" t="s">
        <v>285</v>
      </c>
      <c r="C263" s="42" t="s">
        <v>465</v>
      </c>
      <c r="D263" s="105">
        <v>276980518</v>
      </c>
      <c r="E263" s="105">
        <v>9195267252</v>
      </c>
      <c r="F263" s="42" t="s">
        <v>256</v>
      </c>
      <c r="G263" s="84">
        <f>38286+(364+182)</f>
        <v>38832</v>
      </c>
      <c r="H263" s="53" t="str">
        <f>CHOOSE(MONTH(G263),"Jan","Feb","Mar","Apr","May","Jun","Jul","Aug","Sep","Oct","Nov","Dec")</f>
        <v>Apr</v>
      </c>
      <c r="I263" s="54">
        <f ca="1">DATEDIF(G263,TODAY(),"Y")</f>
        <v>10</v>
      </c>
      <c r="J263" s="55" t="s">
        <v>276</v>
      </c>
      <c r="K263" s="56">
        <v>29420</v>
      </c>
      <c r="L263" s="57">
        <v>5</v>
      </c>
      <c r="M263" s="62">
        <f>ROUND(K263*P261+K263,0)</f>
        <v>29420</v>
      </c>
      <c r="N263" s="103"/>
      <c r="O263" s="48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</row>
    <row r="264" spans="1:34" s="87" customFormat="1" x14ac:dyDescent="0.25">
      <c r="A264" s="42" t="s">
        <v>557</v>
      </c>
      <c r="B264" s="49" t="s">
        <v>285</v>
      </c>
      <c r="C264" s="42" t="s">
        <v>465</v>
      </c>
      <c r="D264" s="105">
        <v>114005397</v>
      </c>
      <c r="E264" s="105">
        <v>2524694617</v>
      </c>
      <c r="F264" s="42" t="s">
        <v>247</v>
      </c>
      <c r="G264" s="84">
        <f>38643+(364+182)</f>
        <v>39189</v>
      </c>
      <c r="H264" s="53" t="str">
        <f>CHOOSE(MONTH(G264),"Jan","Feb","Mar","Apr","May","Jun","Jul","Aug","Sep","Oct","Nov","Dec")</f>
        <v>Apr</v>
      </c>
      <c r="I264" s="54">
        <f ca="1">DATEDIF(G264,TODAY(),"Y")</f>
        <v>9</v>
      </c>
      <c r="J264" s="55"/>
      <c r="K264" s="56">
        <v>63850</v>
      </c>
      <c r="L264" s="57">
        <v>2</v>
      </c>
      <c r="M264" s="62">
        <f>ROUND(K264*P262+K264,0)</f>
        <v>63850</v>
      </c>
      <c r="N264" s="103"/>
      <c r="O264" s="48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</row>
    <row r="265" spans="1:34" s="87" customFormat="1" x14ac:dyDescent="0.25">
      <c r="A265" s="42" t="s">
        <v>574</v>
      </c>
      <c r="B265" s="49" t="s">
        <v>271</v>
      </c>
      <c r="C265" s="42" t="s">
        <v>465</v>
      </c>
      <c r="D265" s="105">
        <v>829216164</v>
      </c>
      <c r="E265" s="105">
        <v>2524982487</v>
      </c>
      <c r="F265" s="42" t="s">
        <v>247</v>
      </c>
      <c r="G265" s="84">
        <f>38999+(364+182)</f>
        <v>39545</v>
      </c>
      <c r="H265" s="53" t="str">
        <f>CHOOSE(MONTH(G265),"Jan","Feb","Mar","Apr","May","Jun","Jul","Aug","Sep","Oct","Nov","Dec")</f>
        <v>Apr</v>
      </c>
      <c r="I265" s="54">
        <f ca="1">DATEDIF(G265,TODAY(),"Y")</f>
        <v>8</v>
      </c>
      <c r="J265" s="55"/>
      <c r="K265" s="56">
        <v>84170</v>
      </c>
      <c r="L265" s="57">
        <v>2</v>
      </c>
      <c r="M265" s="62">
        <f>ROUND(K265*P263+K265,0)</f>
        <v>84170</v>
      </c>
      <c r="N265" s="103"/>
      <c r="O265" s="48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</row>
    <row r="266" spans="1:34" s="87" customFormat="1" x14ac:dyDescent="0.25">
      <c r="A266" s="42" t="s">
        <v>363</v>
      </c>
      <c r="B266" s="49" t="s">
        <v>280</v>
      </c>
      <c r="C266" s="42" t="s">
        <v>312</v>
      </c>
      <c r="D266" s="105">
        <v>683222853</v>
      </c>
      <c r="E266" s="105">
        <v>9196224056</v>
      </c>
      <c r="F266" s="42" t="s">
        <v>247</v>
      </c>
      <c r="G266" s="84">
        <f>39376+(364+182)</f>
        <v>39922</v>
      </c>
      <c r="H266" s="53" t="str">
        <f>CHOOSE(MONTH(G266),"Jan","Feb","Mar","Apr","May","Jun","Jul","Aug","Sep","Oct","Nov","Dec")</f>
        <v>Apr</v>
      </c>
      <c r="I266" s="54">
        <f ca="1">DATEDIF(G266,TODAY(),"Y")</f>
        <v>7</v>
      </c>
      <c r="J266" s="55"/>
      <c r="K266" s="56">
        <v>25790</v>
      </c>
      <c r="L266" s="57">
        <v>3</v>
      </c>
      <c r="M266" s="62">
        <f>ROUND(K266*P264+K266,0)</f>
        <v>25790</v>
      </c>
      <c r="N266" s="103"/>
      <c r="O266" s="48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</row>
    <row r="267" spans="1:34" s="87" customFormat="1" x14ac:dyDescent="0.25">
      <c r="A267" s="42" t="s">
        <v>376</v>
      </c>
      <c r="B267" s="49" t="s">
        <v>285</v>
      </c>
      <c r="C267" s="42" t="s">
        <v>372</v>
      </c>
      <c r="D267" s="105">
        <v>207506781</v>
      </c>
      <c r="E267" s="105">
        <v>9194125294</v>
      </c>
      <c r="F267" s="42" t="s">
        <v>256</v>
      </c>
      <c r="G267" s="84">
        <f>39377+(364+182)</f>
        <v>39923</v>
      </c>
      <c r="H267" s="53" t="str">
        <f>CHOOSE(MONTH(G267),"Jan","Feb","Mar","Apr","May","Jun","Jul","Aug","Sep","Oct","Nov","Dec")</f>
        <v>Apr</v>
      </c>
      <c r="I267" s="54">
        <f ca="1">DATEDIF(G267,TODAY(),"Y")</f>
        <v>7</v>
      </c>
      <c r="J267" s="55" t="s">
        <v>257</v>
      </c>
      <c r="K267" s="56">
        <v>76440</v>
      </c>
      <c r="L267" s="57">
        <v>3</v>
      </c>
      <c r="M267" s="62">
        <f>ROUND(K267*P265+K267,0)</f>
        <v>76440</v>
      </c>
      <c r="N267" s="103"/>
      <c r="O267" s="48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</row>
    <row r="268" spans="1:34" s="87" customFormat="1" x14ac:dyDescent="0.25">
      <c r="A268" s="42" t="s">
        <v>510</v>
      </c>
      <c r="B268" s="49" t="s">
        <v>271</v>
      </c>
      <c r="C268" s="42" t="s">
        <v>465</v>
      </c>
      <c r="D268" s="105">
        <v>527185620</v>
      </c>
      <c r="E268" s="105">
        <v>2524627771</v>
      </c>
      <c r="F268" s="42" t="s">
        <v>256</v>
      </c>
      <c r="G268" s="84">
        <f>39724+(364+182)</f>
        <v>40270</v>
      </c>
      <c r="H268" s="53" t="str">
        <f>CHOOSE(MONTH(G268),"Jan","Feb","Mar","Apr","May","Jun","Jul","Aug","Sep","Oct","Nov","Dec")</f>
        <v>Apr</v>
      </c>
      <c r="I268" s="54">
        <f ca="1">DATEDIF(G268,TODAY(),"Y")</f>
        <v>6</v>
      </c>
      <c r="J268" s="55" t="s">
        <v>283</v>
      </c>
      <c r="K268" s="56">
        <v>35300</v>
      </c>
      <c r="L268" s="57">
        <v>5</v>
      </c>
      <c r="M268" s="62">
        <f>ROUND(K268*P266+K268,0)</f>
        <v>35300</v>
      </c>
      <c r="N268" s="103"/>
      <c r="O268" s="48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</row>
    <row r="269" spans="1:34" s="87" customFormat="1" x14ac:dyDescent="0.25">
      <c r="A269" s="42" t="s">
        <v>361</v>
      </c>
      <c r="B269" s="49" t="s">
        <v>271</v>
      </c>
      <c r="C269" s="42" t="s">
        <v>312</v>
      </c>
      <c r="D269" s="105">
        <v>721169660</v>
      </c>
      <c r="E269" s="105">
        <v>2526711140</v>
      </c>
      <c r="F269" s="42" t="s">
        <v>256</v>
      </c>
      <c r="G269" s="84">
        <f>39728+(364+182)</f>
        <v>40274</v>
      </c>
      <c r="H269" s="53" t="str">
        <f>CHOOSE(MONTH(G269),"Jan","Feb","Mar","Apr","May","Jun","Jul","Aug","Sep","Oct","Nov","Dec")</f>
        <v>Apr</v>
      </c>
      <c r="I269" s="54">
        <f ca="1">DATEDIF(G269,TODAY(),"Y")</f>
        <v>6</v>
      </c>
      <c r="J269" s="55" t="s">
        <v>262</v>
      </c>
      <c r="K269" s="56">
        <v>38730</v>
      </c>
      <c r="L269" s="57">
        <v>1</v>
      </c>
      <c r="M269" s="62">
        <f>ROUND(K269*P267+K269,0)</f>
        <v>38730</v>
      </c>
      <c r="N269" s="103"/>
      <c r="O269" s="48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</row>
    <row r="270" spans="1:34" s="87" customFormat="1" x14ac:dyDescent="0.25">
      <c r="A270" s="42" t="s">
        <v>359</v>
      </c>
      <c r="B270" s="49" t="s">
        <v>245</v>
      </c>
      <c r="C270" s="42" t="s">
        <v>312</v>
      </c>
      <c r="D270" s="105">
        <v>676534152</v>
      </c>
      <c r="E270" s="105">
        <v>9194416232</v>
      </c>
      <c r="F270" s="42" t="s">
        <v>256</v>
      </c>
      <c r="G270" s="106">
        <f>39746+(364+182)</f>
        <v>40292</v>
      </c>
      <c r="H270" s="53" t="str">
        <f>CHOOSE(MONTH(G270),"Jan","Feb","Mar","Apr","May","Jun","Jul","Aug","Sep","Oct","Nov","Dec")</f>
        <v>Apr</v>
      </c>
      <c r="I270" s="54">
        <f ca="1">DATEDIF(G270,TODAY(),"Y")</f>
        <v>6</v>
      </c>
      <c r="J270" s="55" t="s">
        <v>257</v>
      </c>
      <c r="K270" s="56">
        <v>23280</v>
      </c>
      <c r="L270" s="57">
        <v>1</v>
      </c>
      <c r="M270" s="62">
        <f>ROUND(K270*P268+K270,0)</f>
        <v>23280</v>
      </c>
      <c r="N270" s="103"/>
      <c r="O270" s="48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</row>
    <row r="271" spans="1:34" s="87" customFormat="1" x14ac:dyDescent="0.25">
      <c r="A271" s="42" t="s">
        <v>620</v>
      </c>
      <c r="B271" s="49" t="s">
        <v>266</v>
      </c>
      <c r="C271" s="42" t="s">
        <v>618</v>
      </c>
      <c r="D271" s="105">
        <v>380343690</v>
      </c>
      <c r="E271" s="105">
        <v>2523906310</v>
      </c>
      <c r="F271" s="42" t="s">
        <v>247</v>
      </c>
      <c r="G271" s="106">
        <f>39746+(364+182)</f>
        <v>40292</v>
      </c>
      <c r="H271" s="53" t="str">
        <f>CHOOSE(MONTH(G271),"Jan","Feb","Mar","Apr","May","Jun","Jul","Aug","Sep","Oct","Nov","Dec")</f>
        <v>Apr</v>
      </c>
      <c r="I271" s="54">
        <f ca="1">DATEDIF(G271,TODAY(),"Y")</f>
        <v>6</v>
      </c>
      <c r="J271" s="55"/>
      <c r="K271" s="56">
        <v>61890</v>
      </c>
      <c r="L271" s="57">
        <v>2</v>
      </c>
      <c r="M271" s="62">
        <f>ROUND(K271*P269+K271,0)</f>
        <v>61890</v>
      </c>
      <c r="N271" s="103"/>
      <c r="O271" s="48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</row>
    <row r="272" spans="1:34" s="87" customFormat="1" x14ac:dyDescent="0.25">
      <c r="A272" s="42" t="s">
        <v>790</v>
      </c>
      <c r="B272" s="49" t="s">
        <v>266</v>
      </c>
      <c r="C272" s="42" t="s">
        <v>767</v>
      </c>
      <c r="D272" s="105">
        <v>868364739</v>
      </c>
      <c r="E272" s="105">
        <v>9195255121</v>
      </c>
      <c r="F272" s="42" t="s">
        <v>261</v>
      </c>
      <c r="G272" s="84">
        <f>39747+(364+182)</f>
        <v>40293</v>
      </c>
      <c r="H272" s="53" t="str">
        <f>CHOOSE(MONTH(G272),"Jan","Feb","Mar","Apr","May","Jun","Jul","Aug","Sep","Oct","Nov","Dec")</f>
        <v>Apr</v>
      </c>
      <c r="I272" s="54">
        <f ca="1">DATEDIF(G272,TODAY(),"Y")</f>
        <v>6</v>
      </c>
      <c r="J272" s="55" t="s">
        <v>257</v>
      </c>
      <c r="K272" s="56">
        <v>11810</v>
      </c>
      <c r="L272" s="57">
        <v>1</v>
      </c>
      <c r="M272" s="62">
        <f>ROUND(K272*P270+K272,0)</f>
        <v>11810</v>
      </c>
      <c r="N272" s="103"/>
      <c r="O272" s="48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</row>
    <row r="273" spans="1:34" s="87" customFormat="1" x14ac:dyDescent="0.25">
      <c r="A273" s="42" t="s">
        <v>480</v>
      </c>
      <c r="B273" s="49" t="s">
        <v>271</v>
      </c>
      <c r="C273" s="42" t="s">
        <v>465</v>
      </c>
      <c r="D273" s="105">
        <v>387517948</v>
      </c>
      <c r="E273" s="105">
        <v>9198213594</v>
      </c>
      <c r="F273" s="42" t="s">
        <v>256</v>
      </c>
      <c r="G273" s="84">
        <f>40088+(364+182)</f>
        <v>40634</v>
      </c>
      <c r="H273" s="53" t="str">
        <f>CHOOSE(MONTH(G273),"Jan","Feb","Mar","Apr","May","Jun","Jul","Aug","Sep","Oct","Nov","Dec")</f>
        <v>Apr</v>
      </c>
      <c r="I273" s="54">
        <f ca="1">DATEDIF(G273,TODAY(),"Y")</f>
        <v>5</v>
      </c>
      <c r="J273" s="55" t="s">
        <v>257</v>
      </c>
      <c r="K273" s="56">
        <v>47440</v>
      </c>
      <c r="L273" s="57">
        <v>3</v>
      </c>
      <c r="M273" s="62">
        <f>ROUND(K273*P271+K273,0)</f>
        <v>47440</v>
      </c>
      <c r="N273" s="103"/>
      <c r="O273" s="48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</row>
    <row r="274" spans="1:34" s="87" customFormat="1" x14ac:dyDescent="0.25">
      <c r="A274" s="42" t="s">
        <v>970</v>
      </c>
      <c r="B274" s="49" t="s">
        <v>271</v>
      </c>
      <c r="C274" s="42" t="s">
        <v>930</v>
      </c>
      <c r="D274" s="105">
        <v>671823263</v>
      </c>
      <c r="E274" s="105">
        <v>2526718651</v>
      </c>
      <c r="F274" s="42" t="s">
        <v>256</v>
      </c>
      <c r="G274" s="84">
        <f>40091+(364+182)</f>
        <v>40637</v>
      </c>
      <c r="H274" s="53" t="str">
        <f>CHOOSE(MONTH(G274),"Jan","Feb","Mar","Apr","May","Jun","Jul","Aug","Sep","Oct","Nov","Dec")</f>
        <v>Apr</v>
      </c>
      <c r="I274" s="54">
        <f ca="1">DATEDIF(G274,TODAY(),"Y")</f>
        <v>5</v>
      </c>
      <c r="J274" s="55" t="s">
        <v>257</v>
      </c>
      <c r="K274" s="56">
        <v>86640</v>
      </c>
      <c r="L274" s="57">
        <v>3</v>
      </c>
      <c r="M274" s="62">
        <f>ROUND(K274*P272+K274,0)</f>
        <v>86640</v>
      </c>
      <c r="N274" s="103"/>
      <c r="O274" s="48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</row>
    <row r="275" spans="1:34" s="87" customFormat="1" x14ac:dyDescent="0.25">
      <c r="A275" s="42" t="s">
        <v>939</v>
      </c>
      <c r="B275" s="49" t="s">
        <v>251</v>
      </c>
      <c r="C275" s="42" t="s">
        <v>930</v>
      </c>
      <c r="D275" s="105">
        <v>995590510</v>
      </c>
      <c r="E275" s="105">
        <v>9191838930</v>
      </c>
      <c r="F275" s="42" t="s">
        <v>247</v>
      </c>
      <c r="G275" s="106">
        <f>40092+(364+182)</f>
        <v>40638</v>
      </c>
      <c r="H275" s="53" t="str">
        <f>CHOOSE(MONTH(G275),"Jan","Feb","Mar","Apr","May","Jun","Jul","Aug","Sep","Oct","Nov","Dec")</f>
        <v>Apr</v>
      </c>
      <c r="I275" s="54">
        <f ca="1">DATEDIF(G275,TODAY(),"Y")</f>
        <v>5</v>
      </c>
      <c r="J275" s="55"/>
      <c r="K275" s="56">
        <v>42990</v>
      </c>
      <c r="L275" s="57">
        <v>4</v>
      </c>
      <c r="M275" s="62">
        <f>ROUND(K275*P273+K275,0)</f>
        <v>42990</v>
      </c>
      <c r="N275" s="103"/>
      <c r="O275" s="48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</row>
    <row r="276" spans="1:34" s="87" customFormat="1" x14ac:dyDescent="0.25">
      <c r="A276" s="42" t="s">
        <v>822</v>
      </c>
      <c r="B276" s="49" t="s">
        <v>271</v>
      </c>
      <c r="C276" s="42" t="s">
        <v>767</v>
      </c>
      <c r="D276" s="105">
        <v>191359642</v>
      </c>
      <c r="E276" s="105">
        <v>2528687353</v>
      </c>
      <c r="F276" s="42" t="s">
        <v>256</v>
      </c>
      <c r="G276" s="84">
        <f>32815+(364+182)</f>
        <v>33361</v>
      </c>
      <c r="H276" s="53" t="str">
        <f>CHOOSE(MONTH(G276),"Jan","Feb","Mar","Apr","May","Jun","Jul","Aug","Sep","Oct","Nov","Dec")</f>
        <v>May</v>
      </c>
      <c r="I276" s="54">
        <f ca="1">DATEDIF(G276,TODAY(),"Y")</f>
        <v>25</v>
      </c>
      <c r="J276" s="55" t="s">
        <v>257</v>
      </c>
      <c r="K276" s="56">
        <v>24090</v>
      </c>
      <c r="L276" s="57">
        <v>4</v>
      </c>
      <c r="M276" s="62">
        <f>ROUND(K276*P274+K276,0)</f>
        <v>24090</v>
      </c>
      <c r="N276" s="103"/>
      <c r="O276" s="48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</row>
    <row r="277" spans="1:34" s="87" customFormat="1" x14ac:dyDescent="0.25">
      <c r="A277" s="42" t="s">
        <v>462</v>
      </c>
      <c r="B277" s="49" t="s">
        <v>271</v>
      </c>
      <c r="C277" s="42" t="s">
        <v>456</v>
      </c>
      <c r="D277" s="105">
        <v>861884260</v>
      </c>
      <c r="E277" s="105">
        <v>9196632360</v>
      </c>
      <c r="F277" s="42" t="s">
        <v>256</v>
      </c>
      <c r="G277" s="84">
        <f>32839+(364+182)</f>
        <v>33385</v>
      </c>
      <c r="H277" s="53" t="str">
        <f>CHOOSE(MONTH(G277),"Jan","Feb","Mar","Apr","May","Jun","Jul","Aug","Sep","Oct","Nov","Dec")</f>
        <v>May</v>
      </c>
      <c r="I277" s="54">
        <f ca="1">DATEDIF(G277,TODAY(),"Y")</f>
        <v>25</v>
      </c>
      <c r="J277" s="55" t="s">
        <v>257</v>
      </c>
      <c r="K277" s="56">
        <v>89140</v>
      </c>
      <c r="L277" s="57">
        <v>1</v>
      </c>
      <c r="M277" s="62">
        <f>ROUND(K277*P275+K277,0)</f>
        <v>89140</v>
      </c>
      <c r="N277" s="103"/>
      <c r="O277" s="48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</row>
    <row r="278" spans="1:34" s="87" customFormat="1" x14ac:dyDescent="0.25">
      <c r="A278" s="42" t="s">
        <v>1026</v>
      </c>
      <c r="B278" s="49" t="s">
        <v>245</v>
      </c>
      <c r="C278" s="42" t="s">
        <v>1025</v>
      </c>
      <c r="D278" s="105">
        <v>776823797</v>
      </c>
      <c r="E278" s="105">
        <v>9193482736</v>
      </c>
      <c r="F278" s="42" t="s">
        <v>247</v>
      </c>
      <c r="G278" s="84">
        <f>32841+(364+182)</f>
        <v>33387</v>
      </c>
      <c r="H278" s="53" t="str">
        <f>CHOOSE(MONTH(G278),"Jan","Feb","Mar","Apr","May","Jun","Jul","Aug","Sep","Oct","Nov","Dec")</f>
        <v>May</v>
      </c>
      <c r="I278" s="54">
        <f ca="1">DATEDIF(G278,TODAY(),"Y")</f>
        <v>25</v>
      </c>
      <c r="J278" s="55"/>
      <c r="K278" s="56">
        <v>85510</v>
      </c>
      <c r="L278" s="57">
        <v>4</v>
      </c>
      <c r="M278" s="62">
        <f>ROUND(K278*P276+K278,0)</f>
        <v>85510</v>
      </c>
      <c r="N278" s="103"/>
      <c r="O278" s="48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</row>
    <row r="279" spans="1:34" s="87" customFormat="1" x14ac:dyDescent="0.25">
      <c r="A279" s="42" t="s">
        <v>692</v>
      </c>
      <c r="B279" s="49" t="s">
        <v>285</v>
      </c>
      <c r="C279" s="42" t="s">
        <v>678</v>
      </c>
      <c r="D279" s="105">
        <v>468953266</v>
      </c>
      <c r="E279" s="105">
        <v>9192126707</v>
      </c>
      <c r="F279" s="42" t="s">
        <v>256</v>
      </c>
      <c r="G279" s="84">
        <f>33195+(364+182)</f>
        <v>33741</v>
      </c>
      <c r="H279" s="53" t="str">
        <f>CHOOSE(MONTH(G279),"Jan","Feb","Mar","Apr","May","Jun","Jul","Aug","Sep","Oct","Nov","Dec")</f>
        <v>May</v>
      </c>
      <c r="I279" s="54">
        <f ca="1">DATEDIF(G279,TODAY(),"Y")</f>
        <v>24</v>
      </c>
      <c r="J279" s="55" t="s">
        <v>257</v>
      </c>
      <c r="K279" s="56">
        <v>48550</v>
      </c>
      <c r="L279" s="57">
        <v>5</v>
      </c>
      <c r="M279" s="62">
        <f>ROUND(K279*P277+K279,0)</f>
        <v>48550</v>
      </c>
      <c r="N279" s="103"/>
      <c r="O279" s="48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</row>
    <row r="280" spans="1:34" s="87" customFormat="1" x14ac:dyDescent="0.25">
      <c r="A280" s="42" t="s">
        <v>354</v>
      </c>
      <c r="B280" s="49" t="s">
        <v>285</v>
      </c>
      <c r="C280" s="42" t="s">
        <v>312</v>
      </c>
      <c r="D280" s="105">
        <v>667812117</v>
      </c>
      <c r="E280" s="105">
        <v>2526396432</v>
      </c>
      <c r="F280" s="42" t="s">
        <v>256</v>
      </c>
      <c r="G280" s="84">
        <f>33200+(364+182)</f>
        <v>33746</v>
      </c>
      <c r="H280" s="53" t="str">
        <f>CHOOSE(MONTH(G280),"Jan","Feb","Mar","Apr","May","Jun","Jul","Aug","Sep","Oct","Nov","Dec")</f>
        <v>May</v>
      </c>
      <c r="I280" s="54">
        <f ca="1">DATEDIF(G280,TODAY(),"Y")</f>
        <v>24</v>
      </c>
      <c r="J280" s="55" t="s">
        <v>262</v>
      </c>
      <c r="K280" s="56">
        <v>31830</v>
      </c>
      <c r="L280" s="57">
        <v>3</v>
      </c>
      <c r="M280" s="62">
        <f>ROUND(K280*P278+K280,0)</f>
        <v>31830</v>
      </c>
      <c r="N280" s="103"/>
      <c r="O280" s="48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</row>
    <row r="281" spans="1:34" s="87" customFormat="1" x14ac:dyDescent="0.25">
      <c r="A281" s="42" t="s">
        <v>538</v>
      </c>
      <c r="B281" s="49" t="s">
        <v>280</v>
      </c>
      <c r="C281" s="42" t="s">
        <v>465</v>
      </c>
      <c r="D281" s="105">
        <v>466293520</v>
      </c>
      <c r="E281" s="105">
        <v>2524442142</v>
      </c>
      <c r="F281" s="42" t="s">
        <v>252</v>
      </c>
      <c r="G281" s="84">
        <f>33205+(364+182)</f>
        <v>33751</v>
      </c>
      <c r="H281" s="53" t="str">
        <f>CHOOSE(MONTH(G281),"Jan","Feb","Mar","Apr","May","Jun","Jul","Aug","Sep","Oct","Nov","Dec")</f>
        <v>May</v>
      </c>
      <c r="I281" s="54">
        <f ca="1">DATEDIF(G281,TODAY(),"Y")</f>
        <v>24</v>
      </c>
      <c r="J281" s="55"/>
      <c r="K281" s="56">
        <v>22344</v>
      </c>
      <c r="L281" s="57">
        <v>4</v>
      </c>
      <c r="M281" s="62">
        <f>ROUND(K281*P279+K281,0)</f>
        <v>22344</v>
      </c>
      <c r="N281" s="103"/>
      <c r="O281" s="48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</row>
    <row r="282" spans="1:34" s="87" customFormat="1" x14ac:dyDescent="0.25">
      <c r="A282" s="42" t="s">
        <v>742</v>
      </c>
      <c r="B282" s="49" t="s">
        <v>271</v>
      </c>
      <c r="C282" s="42" t="s">
        <v>705</v>
      </c>
      <c r="D282" s="105">
        <v>934447306</v>
      </c>
      <c r="E282" s="105">
        <v>2525981242</v>
      </c>
      <c r="F282" s="42" t="s">
        <v>256</v>
      </c>
      <c r="G282" s="84">
        <f>33565+(364+182)</f>
        <v>34111</v>
      </c>
      <c r="H282" s="53" t="str">
        <f>CHOOSE(MONTH(G282),"Jan","Feb","Mar","Apr","May","Jun","Jul","Aug","Sep","Oct","Nov","Dec")</f>
        <v>May</v>
      </c>
      <c r="I282" s="54">
        <f ca="1">DATEDIF(G282,TODAY(),"Y")</f>
        <v>23</v>
      </c>
      <c r="J282" s="55" t="s">
        <v>283</v>
      </c>
      <c r="K282" s="56">
        <v>73030</v>
      </c>
      <c r="L282" s="57">
        <v>5</v>
      </c>
      <c r="M282" s="62">
        <f>ROUND(K282*P280+K282,0)</f>
        <v>73030</v>
      </c>
      <c r="N282" s="103"/>
      <c r="O282" s="48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</row>
    <row r="283" spans="1:34" s="87" customFormat="1" x14ac:dyDescent="0.25">
      <c r="A283" s="42" t="s">
        <v>368</v>
      </c>
      <c r="B283" s="49" t="s">
        <v>285</v>
      </c>
      <c r="C283" s="42" t="s">
        <v>312</v>
      </c>
      <c r="D283" s="105">
        <v>496260023</v>
      </c>
      <c r="E283" s="105">
        <v>2523962015</v>
      </c>
      <c r="F283" s="42" t="s">
        <v>256</v>
      </c>
      <c r="G283" s="84">
        <f>33928+(364+182)</f>
        <v>34474</v>
      </c>
      <c r="H283" s="53" t="str">
        <f>CHOOSE(MONTH(G283),"Jan","Feb","Mar","Apr","May","Jun","Jul","Aug","Sep","Oct","Nov","Dec")</f>
        <v>May</v>
      </c>
      <c r="I283" s="54">
        <f ca="1">DATEDIF(G283,TODAY(),"Y")</f>
        <v>22</v>
      </c>
      <c r="J283" s="55" t="s">
        <v>262</v>
      </c>
      <c r="K283" s="56">
        <v>74670</v>
      </c>
      <c r="L283" s="57">
        <v>5</v>
      </c>
      <c r="M283" s="62">
        <f>ROUND(K283*P281+K283,0)</f>
        <v>74670</v>
      </c>
      <c r="N283" s="103"/>
      <c r="O283" s="48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</row>
    <row r="284" spans="1:34" s="87" customFormat="1" x14ac:dyDescent="0.25">
      <c r="A284" s="42" t="s">
        <v>837</v>
      </c>
      <c r="B284" s="49" t="s">
        <v>271</v>
      </c>
      <c r="C284" s="42" t="s">
        <v>767</v>
      </c>
      <c r="D284" s="105">
        <v>336025451</v>
      </c>
      <c r="E284" s="105">
        <v>2522344526</v>
      </c>
      <c r="F284" s="42" t="s">
        <v>247</v>
      </c>
      <c r="G284" s="84">
        <f>33932+(364+182)</f>
        <v>34478</v>
      </c>
      <c r="H284" s="53" t="str">
        <f>CHOOSE(MONTH(G284),"Jan","Feb","Mar","Apr","May","Jun","Jul","Aug","Sep","Oct","Nov","Dec")</f>
        <v>May</v>
      </c>
      <c r="I284" s="54">
        <f ca="1">DATEDIF(G284,TODAY(),"Y")</f>
        <v>22</v>
      </c>
      <c r="J284" s="55"/>
      <c r="K284" s="56">
        <v>56650</v>
      </c>
      <c r="L284" s="57">
        <v>1</v>
      </c>
      <c r="M284" s="62">
        <f>ROUND(K284*P282+K284,0)</f>
        <v>56650</v>
      </c>
      <c r="N284" s="103"/>
      <c r="O284" s="48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</row>
    <row r="285" spans="1:34" s="87" customFormat="1" x14ac:dyDescent="0.25">
      <c r="A285" s="42" t="s">
        <v>522</v>
      </c>
      <c r="B285" s="49" t="s">
        <v>251</v>
      </c>
      <c r="C285" s="42" t="s">
        <v>465</v>
      </c>
      <c r="D285" s="105">
        <v>720538680</v>
      </c>
      <c r="E285" s="105">
        <v>2522126686</v>
      </c>
      <c r="F285" s="42" t="s">
        <v>256</v>
      </c>
      <c r="G285" s="84">
        <f>33937+(364+182)</f>
        <v>34483</v>
      </c>
      <c r="H285" s="53" t="str">
        <f>CHOOSE(MONTH(G285),"Jan","Feb","Mar","Apr","May","Jun","Jul","Aug","Sep","Oct","Nov","Dec")</f>
        <v>May</v>
      </c>
      <c r="I285" s="54">
        <f ca="1">DATEDIF(G285,TODAY(),"Y")</f>
        <v>22</v>
      </c>
      <c r="J285" s="55" t="s">
        <v>257</v>
      </c>
      <c r="K285" s="56">
        <v>81010</v>
      </c>
      <c r="L285" s="57">
        <v>4</v>
      </c>
      <c r="M285" s="62">
        <f>ROUND(K285*P283+K285,0)</f>
        <v>81010</v>
      </c>
      <c r="N285" s="103"/>
      <c r="O285" s="48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</row>
    <row r="286" spans="1:34" s="87" customFormat="1" x14ac:dyDescent="0.25">
      <c r="A286" s="42" t="s">
        <v>960</v>
      </c>
      <c r="B286" s="49" t="s">
        <v>285</v>
      </c>
      <c r="C286" s="42" t="s">
        <v>930</v>
      </c>
      <c r="D286" s="105">
        <v>471064761</v>
      </c>
      <c r="E286" s="105">
        <v>9191800673</v>
      </c>
      <c r="F286" s="42" t="s">
        <v>252</v>
      </c>
      <c r="G286" s="84">
        <f>34279+(364+182)</f>
        <v>34825</v>
      </c>
      <c r="H286" s="53" t="str">
        <f>CHOOSE(MONTH(G286),"Jan","Feb","Mar","Apr","May","Jun","Jul","Aug","Sep","Oct","Nov","Dec")</f>
        <v>May</v>
      </c>
      <c r="I286" s="54">
        <f ca="1">DATEDIF(G286,TODAY(),"Y")</f>
        <v>21</v>
      </c>
      <c r="J286" s="55"/>
      <c r="K286" s="56">
        <v>26944</v>
      </c>
      <c r="L286" s="57">
        <v>4</v>
      </c>
      <c r="M286" s="62">
        <f>ROUND(K286*P284+K286,0)</f>
        <v>26944</v>
      </c>
      <c r="N286" s="103"/>
      <c r="O286" s="48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</row>
    <row r="287" spans="1:34" s="87" customFormat="1" x14ac:dyDescent="0.25">
      <c r="A287" s="42" t="s">
        <v>323</v>
      </c>
      <c r="B287" s="49" t="s">
        <v>271</v>
      </c>
      <c r="C287" s="42" t="s">
        <v>312</v>
      </c>
      <c r="D287" s="105">
        <v>147261161</v>
      </c>
      <c r="E287" s="105">
        <v>9197692593</v>
      </c>
      <c r="F287" s="42" t="s">
        <v>256</v>
      </c>
      <c r="G287" s="84">
        <f>34286+(364+182)</f>
        <v>34832</v>
      </c>
      <c r="H287" s="53" t="str">
        <f>CHOOSE(MONTH(G287),"Jan","Feb","Mar","Apr","May","Jun","Jul","Aug","Sep","Oct","Nov","Dec")</f>
        <v>May</v>
      </c>
      <c r="I287" s="54">
        <f ca="1">DATEDIF(G287,TODAY(),"Y")</f>
        <v>21</v>
      </c>
      <c r="J287" s="55" t="s">
        <v>257</v>
      </c>
      <c r="K287" s="56">
        <v>31910</v>
      </c>
      <c r="L287" s="57">
        <v>5</v>
      </c>
      <c r="M287" s="62">
        <f>ROUND(K287*P285+K287,0)</f>
        <v>31910</v>
      </c>
      <c r="N287" s="103"/>
      <c r="O287" s="48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</row>
    <row r="288" spans="1:34" s="87" customFormat="1" x14ac:dyDescent="0.25">
      <c r="A288" s="42" t="s">
        <v>423</v>
      </c>
      <c r="B288" s="49" t="s">
        <v>285</v>
      </c>
      <c r="C288" s="42" t="s">
        <v>417</v>
      </c>
      <c r="D288" s="105">
        <v>393051351</v>
      </c>
      <c r="E288" s="105">
        <v>9197508998</v>
      </c>
      <c r="F288" s="42" t="s">
        <v>261</v>
      </c>
      <c r="G288" s="84">
        <f>34640+(364+182)</f>
        <v>35186</v>
      </c>
      <c r="H288" s="53" t="str">
        <f>CHOOSE(MONTH(G288),"Jan","Feb","Mar","Apr","May","Jun","Jul","Aug","Sep","Oct","Nov","Dec")</f>
        <v>May</v>
      </c>
      <c r="I288" s="54">
        <f ca="1">DATEDIF(G288,TODAY(),"Y")</f>
        <v>20</v>
      </c>
      <c r="J288" s="55" t="s">
        <v>276</v>
      </c>
      <c r="K288" s="56">
        <v>32835</v>
      </c>
      <c r="L288" s="57">
        <v>2</v>
      </c>
      <c r="M288" s="62">
        <f>ROUND(K288*P286+K288,0)</f>
        <v>32835</v>
      </c>
      <c r="N288" s="103"/>
      <c r="O288" s="48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</row>
    <row r="289" spans="1:34" s="87" customFormat="1" x14ac:dyDescent="0.25">
      <c r="A289" s="42" t="s">
        <v>596</v>
      </c>
      <c r="B289" s="49" t="s">
        <v>271</v>
      </c>
      <c r="C289" s="42" t="s">
        <v>465</v>
      </c>
      <c r="D289" s="105">
        <v>147724014</v>
      </c>
      <c r="E289" s="105">
        <v>9192212512</v>
      </c>
      <c r="F289" s="42" t="s">
        <v>256</v>
      </c>
      <c r="G289" s="84">
        <f>34642+(364+182)</f>
        <v>35188</v>
      </c>
      <c r="H289" s="53" t="str">
        <f>CHOOSE(MONTH(G289),"Jan","Feb","Mar","Apr","May","Jun","Jul","Aug","Sep","Oct","Nov","Dec")</f>
        <v>May</v>
      </c>
      <c r="I289" s="54">
        <f ca="1">DATEDIF(G289,TODAY(),"Y")</f>
        <v>20</v>
      </c>
      <c r="J289" s="55" t="s">
        <v>283</v>
      </c>
      <c r="K289" s="56">
        <v>44270</v>
      </c>
      <c r="L289" s="57">
        <v>2</v>
      </c>
      <c r="M289" s="62">
        <f>ROUND(K289*P287+K289,0)</f>
        <v>44270</v>
      </c>
      <c r="N289" s="103"/>
      <c r="O289" s="48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</row>
    <row r="290" spans="1:34" x14ac:dyDescent="0.25">
      <c r="A290" s="42" t="s">
        <v>579</v>
      </c>
      <c r="B290" s="49" t="s">
        <v>285</v>
      </c>
      <c r="C290" s="42" t="s">
        <v>465</v>
      </c>
      <c r="D290" s="105">
        <v>930282755</v>
      </c>
      <c r="E290" s="105">
        <v>9192380636</v>
      </c>
      <c r="F290" s="42" t="s">
        <v>261</v>
      </c>
      <c r="G290" s="84">
        <f>34643+(364+182)</f>
        <v>35189</v>
      </c>
      <c r="H290" s="53" t="str">
        <f>CHOOSE(MONTH(G290),"Jan","Feb","Mar","Apr","May","Jun","Jul","Aug","Sep","Oct","Nov","Dec")</f>
        <v>May</v>
      </c>
      <c r="I290" s="54">
        <f ca="1">DATEDIF(G290,TODAY(),"Y")</f>
        <v>20</v>
      </c>
      <c r="J290" s="55" t="s">
        <v>257</v>
      </c>
      <c r="K290" s="56">
        <v>46285</v>
      </c>
      <c r="L290" s="57">
        <v>5</v>
      </c>
      <c r="M290" s="62">
        <f>ROUND(K290*P288+K290,0)</f>
        <v>46285</v>
      </c>
    </row>
    <row r="291" spans="1:34" x14ac:dyDescent="0.25">
      <c r="A291" s="42" t="s">
        <v>333</v>
      </c>
      <c r="B291" s="49" t="s">
        <v>251</v>
      </c>
      <c r="C291" s="42" t="s">
        <v>312</v>
      </c>
      <c r="D291" s="105">
        <v>344090854</v>
      </c>
      <c r="E291" s="105">
        <v>2523542524</v>
      </c>
      <c r="F291" s="42" t="s">
        <v>256</v>
      </c>
      <c r="G291" s="84">
        <f>34651+(364+182)</f>
        <v>35197</v>
      </c>
      <c r="H291" s="53" t="str">
        <f>CHOOSE(MONTH(G291),"Jan","Feb","Mar","Apr","May","Jun","Jul","Aug","Sep","Oct","Nov","Dec")</f>
        <v>May</v>
      </c>
      <c r="I291" s="54">
        <f ca="1">DATEDIF(G291,TODAY(),"Y")</f>
        <v>20</v>
      </c>
      <c r="J291" s="55" t="s">
        <v>276</v>
      </c>
      <c r="K291" s="56">
        <v>82120</v>
      </c>
      <c r="L291" s="57">
        <v>5</v>
      </c>
      <c r="M291" s="62">
        <f>ROUND(K291*P289+K291,0)</f>
        <v>82120</v>
      </c>
    </row>
    <row r="292" spans="1:34" x14ac:dyDescent="0.25">
      <c r="A292" s="42" t="s">
        <v>546</v>
      </c>
      <c r="B292" s="49" t="s">
        <v>285</v>
      </c>
      <c r="C292" s="42" t="s">
        <v>465</v>
      </c>
      <c r="D292" s="105">
        <v>243062914</v>
      </c>
      <c r="E292" s="105">
        <v>9194018412</v>
      </c>
      <c r="F292" s="42" t="s">
        <v>256</v>
      </c>
      <c r="G292" s="84">
        <f>34653+(364+182)</f>
        <v>35199</v>
      </c>
      <c r="H292" s="53" t="str">
        <f>CHOOSE(MONTH(G292),"Jan","Feb","Mar","Apr","May","Jun","Jul","Aug","Sep","Oct","Nov","Dec")</f>
        <v>May</v>
      </c>
      <c r="I292" s="54">
        <f ca="1">DATEDIF(G292,TODAY(),"Y")</f>
        <v>20</v>
      </c>
      <c r="J292" s="55" t="s">
        <v>257</v>
      </c>
      <c r="K292" s="56">
        <v>73450</v>
      </c>
      <c r="L292" s="57">
        <v>3</v>
      </c>
      <c r="M292" s="62">
        <f>ROUND(K292*P290+K292,0)</f>
        <v>73450</v>
      </c>
    </row>
    <row r="293" spans="1:34" x14ac:dyDescent="0.25">
      <c r="A293" s="42" t="s">
        <v>319</v>
      </c>
      <c r="B293" s="49" t="s">
        <v>285</v>
      </c>
      <c r="C293" s="42" t="s">
        <v>312</v>
      </c>
      <c r="D293" s="105">
        <v>905675120</v>
      </c>
      <c r="E293" s="105">
        <v>9192526124</v>
      </c>
      <c r="F293" s="42" t="s">
        <v>256</v>
      </c>
      <c r="G293" s="84">
        <f>34661+(364+182)</f>
        <v>35207</v>
      </c>
      <c r="H293" s="53" t="str">
        <f>CHOOSE(MONTH(G293),"Jan","Feb","Mar","Apr","May","Jun","Jul","Aug","Sep","Oct","Nov","Dec")</f>
        <v>May</v>
      </c>
      <c r="I293" s="54">
        <f ca="1">DATEDIF(G293,TODAY(),"Y")</f>
        <v>20</v>
      </c>
      <c r="J293" s="55" t="s">
        <v>267</v>
      </c>
      <c r="K293" s="56">
        <v>77580</v>
      </c>
      <c r="L293" s="57">
        <v>3</v>
      </c>
      <c r="M293" s="62">
        <f>ROUND(K293*P291+K293,0)</f>
        <v>77580</v>
      </c>
    </row>
    <row r="294" spans="1:34" x14ac:dyDescent="0.25">
      <c r="A294" s="42" t="s">
        <v>299</v>
      </c>
      <c r="B294" s="49" t="s">
        <v>245</v>
      </c>
      <c r="C294" s="42" t="s">
        <v>296</v>
      </c>
      <c r="D294" s="105">
        <v>796079833</v>
      </c>
      <c r="E294" s="105">
        <v>2525327906</v>
      </c>
      <c r="F294" s="42" t="s">
        <v>261</v>
      </c>
      <c r="G294" s="84">
        <f>35018+(364+182)</f>
        <v>35564</v>
      </c>
      <c r="H294" s="53" t="str">
        <f>CHOOSE(MONTH(G294),"Jan","Feb","Mar","Apr","May","Jun","Jul","Aug","Sep","Oct","Nov","Dec")</f>
        <v>May</v>
      </c>
      <c r="I294" s="54">
        <f ca="1">DATEDIF(G294,TODAY(),"Y")</f>
        <v>19</v>
      </c>
      <c r="J294" s="55" t="s">
        <v>257</v>
      </c>
      <c r="K294" s="56">
        <v>11025</v>
      </c>
      <c r="L294" s="57">
        <v>1</v>
      </c>
      <c r="M294" s="62">
        <f>ROUND(K294*P292+K294,0)</f>
        <v>11025</v>
      </c>
    </row>
    <row r="295" spans="1:34" x14ac:dyDescent="0.25">
      <c r="A295" s="42" t="s">
        <v>703</v>
      </c>
      <c r="B295" s="49" t="s">
        <v>271</v>
      </c>
      <c r="C295" s="42" t="s">
        <v>700</v>
      </c>
      <c r="D295" s="105">
        <v>121688720</v>
      </c>
      <c r="E295" s="105">
        <v>9194794769</v>
      </c>
      <c r="F295" s="42" t="s">
        <v>247</v>
      </c>
      <c r="G295" s="84">
        <f>35021+(364+182)</f>
        <v>35567</v>
      </c>
      <c r="H295" s="53" t="str">
        <f>CHOOSE(MONTH(G295),"Jan","Feb","Mar","Apr","May","Jun","Jul","Aug","Sep","Oct","Nov","Dec")</f>
        <v>May</v>
      </c>
      <c r="I295" s="54">
        <f ca="1">DATEDIF(G295,TODAY(),"Y")</f>
        <v>19</v>
      </c>
      <c r="J295" s="55"/>
      <c r="K295" s="56">
        <v>44820</v>
      </c>
      <c r="L295" s="57">
        <v>4</v>
      </c>
      <c r="M295" s="62">
        <f>ROUND(K295*P293+K295,0)</f>
        <v>44820</v>
      </c>
    </row>
    <row r="296" spans="1:34" x14ac:dyDescent="0.25">
      <c r="A296" s="42" t="s">
        <v>335</v>
      </c>
      <c r="B296" s="49" t="s">
        <v>285</v>
      </c>
      <c r="C296" s="42" t="s">
        <v>312</v>
      </c>
      <c r="D296" s="105">
        <v>164904130</v>
      </c>
      <c r="E296" s="105">
        <v>2528046670</v>
      </c>
      <c r="F296" s="42" t="s">
        <v>247</v>
      </c>
      <c r="G296" s="84">
        <f>35023+(364+182)</f>
        <v>35569</v>
      </c>
      <c r="H296" s="53" t="str">
        <f>CHOOSE(MONTH(G296),"Jan","Feb","Mar","Apr","May","Jun","Jul","Aug","Sep","Oct","Nov","Dec")</f>
        <v>May</v>
      </c>
      <c r="I296" s="54">
        <f ca="1">DATEDIF(G296,TODAY(),"Y")</f>
        <v>19</v>
      </c>
      <c r="J296" s="55"/>
      <c r="K296" s="56">
        <v>84200</v>
      </c>
      <c r="L296" s="57">
        <v>2</v>
      </c>
      <c r="M296" s="62">
        <f>ROUND(K296*P294+K296,0)</f>
        <v>84200</v>
      </c>
      <c r="N296" s="110"/>
      <c r="O296" s="104"/>
    </row>
    <row r="297" spans="1:34" x14ac:dyDescent="0.25">
      <c r="A297" s="42" t="s">
        <v>897</v>
      </c>
      <c r="B297" s="49" t="s">
        <v>285</v>
      </c>
      <c r="C297" s="42" t="s">
        <v>856</v>
      </c>
      <c r="D297" s="105">
        <v>750722934</v>
      </c>
      <c r="E297" s="105">
        <v>2523631883</v>
      </c>
      <c r="F297" s="42" t="s">
        <v>256</v>
      </c>
      <c r="G297" s="84">
        <f>35023+(364+182)</f>
        <v>35569</v>
      </c>
      <c r="H297" s="53" t="str">
        <f>CHOOSE(MONTH(G297),"Jan","Feb","Mar","Apr","May","Jun","Jul","Aug","Sep","Oct","Nov","Dec")</f>
        <v>May</v>
      </c>
      <c r="I297" s="54">
        <f ca="1">DATEDIF(G297,TODAY(),"Y")</f>
        <v>19</v>
      </c>
      <c r="J297" s="55" t="s">
        <v>283</v>
      </c>
      <c r="K297" s="56">
        <v>37770</v>
      </c>
      <c r="L297" s="57">
        <v>5</v>
      </c>
      <c r="M297" s="62">
        <f>ROUND(K297*P295+K297,0)</f>
        <v>37770</v>
      </c>
    </row>
    <row r="298" spans="1:34" x14ac:dyDescent="0.25">
      <c r="A298" s="42" t="s">
        <v>1008</v>
      </c>
      <c r="B298" s="49" t="s">
        <v>285</v>
      </c>
      <c r="C298" s="42" t="s">
        <v>930</v>
      </c>
      <c r="D298" s="105">
        <v>240241467</v>
      </c>
      <c r="E298" s="105">
        <v>2524914916</v>
      </c>
      <c r="F298" s="42" t="s">
        <v>252</v>
      </c>
      <c r="G298" s="84">
        <f>35030+(364+182)</f>
        <v>35576</v>
      </c>
      <c r="H298" s="53" t="str">
        <f>CHOOSE(MONTH(G298),"Jan","Feb","Mar","Apr","May","Jun","Jul","Aug","Sep","Oct","Nov","Dec")</f>
        <v>May</v>
      </c>
      <c r="I298" s="54">
        <f ca="1">DATEDIF(G298,TODAY(),"Y")</f>
        <v>19</v>
      </c>
      <c r="J298" s="55"/>
      <c r="K298" s="56">
        <v>28768</v>
      </c>
      <c r="L298" s="57">
        <v>3</v>
      </c>
      <c r="M298" s="62">
        <f>ROUND(K298*P296+K298,0)</f>
        <v>28768</v>
      </c>
    </row>
    <row r="299" spans="1:34" x14ac:dyDescent="0.25">
      <c r="A299" s="42" t="s">
        <v>815</v>
      </c>
      <c r="B299" s="49" t="s">
        <v>251</v>
      </c>
      <c r="C299" s="42" t="s">
        <v>767</v>
      </c>
      <c r="D299" s="105">
        <v>343185481</v>
      </c>
      <c r="E299" s="105">
        <v>9196446519</v>
      </c>
      <c r="F299" s="42" t="s">
        <v>256</v>
      </c>
      <c r="G299" s="84">
        <f>35372+(364+182)</f>
        <v>35918</v>
      </c>
      <c r="H299" s="53" t="str">
        <f>CHOOSE(MONTH(G299),"Jan","Feb","Mar","Apr","May","Jun","Jul","Aug","Sep","Oct","Nov","Dec")</f>
        <v>May</v>
      </c>
      <c r="I299" s="54">
        <f ca="1">DATEDIF(G299,TODAY(),"Y")</f>
        <v>18</v>
      </c>
      <c r="J299" s="55" t="s">
        <v>262</v>
      </c>
      <c r="K299" s="56">
        <v>73740</v>
      </c>
      <c r="L299" s="57">
        <v>4</v>
      </c>
      <c r="M299" s="62">
        <f>ROUND(K299*P297+K299,0)</f>
        <v>73740</v>
      </c>
    </row>
    <row r="300" spans="1:34" x14ac:dyDescent="0.25">
      <c r="A300" s="42" t="s">
        <v>714</v>
      </c>
      <c r="B300" s="49" t="s">
        <v>280</v>
      </c>
      <c r="C300" s="42" t="s">
        <v>705</v>
      </c>
      <c r="D300" s="105">
        <v>213741822</v>
      </c>
      <c r="E300" s="105">
        <v>2521780498</v>
      </c>
      <c r="F300" s="42" t="s">
        <v>247</v>
      </c>
      <c r="G300" s="84">
        <f>35375+(364+182)</f>
        <v>35921</v>
      </c>
      <c r="H300" s="53" t="str">
        <f>CHOOSE(MONTH(G300),"Jan","Feb","Mar","Apr","May","Jun","Jul","Aug","Sep","Oct","Nov","Dec")</f>
        <v>May</v>
      </c>
      <c r="I300" s="54">
        <f ca="1">DATEDIF(G300,TODAY(),"Y")</f>
        <v>18</v>
      </c>
      <c r="J300" s="55"/>
      <c r="K300" s="56">
        <v>63330</v>
      </c>
      <c r="L300" s="57">
        <v>4</v>
      </c>
      <c r="M300" s="62">
        <f>ROUND(K300*P298+K300,0)</f>
        <v>63330</v>
      </c>
    </row>
    <row r="301" spans="1:34" x14ac:dyDescent="0.25">
      <c r="A301" s="42" t="s">
        <v>514</v>
      </c>
      <c r="B301" s="49" t="s">
        <v>251</v>
      </c>
      <c r="C301" s="42" t="s">
        <v>465</v>
      </c>
      <c r="D301" s="105">
        <v>317844971</v>
      </c>
      <c r="E301" s="105">
        <v>9193557946</v>
      </c>
      <c r="F301" s="42" t="s">
        <v>247</v>
      </c>
      <c r="G301" s="84">
        <f>35381+(364+182)</f>
        <v>35927</v>
      </c>
      <c r="H301" s="53" t="str">
        <f>CHOOSE(MONTH(G301),"Jan","Feb","Mar","Apr","May","Jun","Jul","Aug","Sep","Oct","Nov","Dec")</f>
        <v>May</v>
      </c>
      <c r="I301" s="54">
        <f ca="1">DATEDIF(G301,TODAY(),"Y")</f>
        <v>18</v>
      </c>
      <c r="J301" s="55"/>
      <c r="K301" s="56">
        <v>76910</v>
      </c>
      <c r="L301" s="57">
        <v>1</v>
      </c>
      <c r="M301" s="62">
        <f>ROUND(K301*P299+K301,0)</f>
        <v>76910</v>
      </c>
    </row>
    <row r="302" spans="1:34" x14ac:dyDescent="0.25">
      <c r="A302" s="42" t="s">
        <v>484</v>
      </c>
      <c r="B302" s="49" t="s">
        <v>285</v>
      </c>
      <c r="C302" s="42" t="s">
        <v>465</v>
      </c>
      <c r="D302" s="105">
        <v>618535019</v>
      </c>
      <c r="E302" s="105">
        <v>9193695179</v>
      </c>
      <c r="F302" s="42" t="s">
        <v>256</v>
      </c>
      <c r="G302" s="84">
        <f>35386+(364+182)</f>
        <v>35932</v>
      </c>
      <c r="H302" s="53" t="str">
        <f>CHOOSE(MONTH(G302),"Jan","Feb","Mar","Apr","May","Jun","Jul","Aug","Sep","Oct","Nov","Dec")</f>
        <v>May</v>
      </c>
      <c r="I302" s="54">
        <f ca="1">DATEDIF(G302,TODAY(),"Y")</f>
        <v>18</v>
      </c>
      <c r="J302" s="55" t="s">
        <v>283</v>
      </c>
      <c r="K302" s="56">
        <v>89740</v>
      </c>
      <c r="L302" s="57">
        <v>5</v>
      </c>
      <c r="M302" s="62">
        <f>ROUND(K302*P300+K302,0)</f>
        <v>89740</v>
      </c>
    </row>
    <row r="303" spans="1:34" x14ac:dyDescent="0.25">
      <c r="A303" s="42" t="s">
        <v>554</v>
      </c>
      <c r="B303" s="49" t="s">
        <v>245</v>
      </c>
      <c r="C303" s="42" t="s">
        <v>465</v>
      </c>
      <c r="D303" s="105">
        <v>416394493</v>
      </c>
      <c r="E303" s="105">
        <v>2525228252</v>
      </c>
      <c r="F303" s="42" t="s">
        <v>256</v>
      </c>
      <c r="G303" s="84">
        <f>35392+(364+182)</f>
        <v>35938</v>
      </c>
      <c r="H303" s="53" t="str">
        <f>CHOOSE(MONTH(G303),"Jan","Feb","Mar","Apr","May","Jun","Jul","Aug","Sep","Oct","Nov","Dec")</f>
        <v>May</v>
      </c>
      <c r="I303" s="54">
        <f ca="1">DATEDIF(G303,TODAY(),"Y")</f>
        <v>18</v>
      </c>
      <c r="J303" s="55" t="s">
        <v>267</v>
      </c>
      <c r="K303" s="56">
        <v>55450</v>
      </c>
      <c r="L303" s="57">
        <v>5</v>
      </c>
      <c r="M303" s="62">
        <f>ROUND(K303*P301+K303,0)</f>
        <v>55450</v>
      </c>
    </row>
    <row r="304" spans="1:34" x14ac:dyDescent="0.25">
      <c r="A304" s="42" t="s">
        <v>426</v>
      </c>
      <c r="B304" s="49" t="s">
        <v>271</v>
      </c>
      <c r="C304" s="42" t="s">
        <v>417</v>
      </c>
      <c r="D304" s="105">
        <v>282972141</v>
      </c>
      <c r="E304" s="105">
        <v>2527135797</v>
      </c>
      <c r="F304" s="42" t="s">
        <v>247</v>
      </c>
      <c r="G304" s="84">
        <f>35393+(364+182)</f>
        <v>35939</v>
      </c>
      <c r="H304" s="53" t="str">
        <f>CHOOSE(MONTH(G304),"Jan","Feb","Mar","Apr","May","Jun","Jul","Aug","Sep","Oct","Nov","Dec")</f>
        <v>May</v>
      </c>
      <c r="I304" s="54">
        <f ca="1">DATEDIF(G304,TODAY(),"Y")</f>
        <v>18</v>
      </c>
      <c r="J304" s="55"/>
      <c r="K304" s="56">
        <v>25120</v>
      </c>
      <c r="L304" s="57">
        <v>5</v>
      </c>
      <c r="M304" s="62">
        <f>ROUND(K304*P302+K304,0)</f>
        <v>25120</v>
      </c>
    </row>
    <row r="305" spans="1:34" x14ac:dyDescent="0.25">
      <c r="A305" s="42" t="s">
        <v>364</v>
      </c>
      <c r="B305" s="49" t="s">
        <v>266</v>
      </c>
      <c r="C305" s="42" t="s">
        <v>312</v>
      </c>
      <c r="D305" s="105">
        <v>267218084</v>
      </c>
      <c r="E305" s="105">
        <v>9193825834</v>
      </c>
      <c r="F305" s="42" t="s">
        <v>247</v>
      </c>
      <c r="G305" s="84">
        <f>35394+(364+182)</f>
        <v>35940</v>
      </c>
      <c r="H305" s="53" t="str">
        <f>CHOOSE(MONTH(G305),"Jan","Feb","Mar","Apr","May","Jun","Jul","Aug","Sep","Oct","Nov","Dec")</f>
        <v>May</v>
      </c>
      <c r="I305" s="54">
        <f ca="1">DATEDIF(G305,TODAY(),"Y")</f>
        <v>18</v>
      </c>
      <c r="J305" s="55"/>
      <c r="K305" s="56">
        <v>88000</v>
      </c>
      <c r="L305" s="57">
        <v>5</v>
      </c>
      <c r="M305" s="62">
        <f>ROUND(K305*P303+K305,0)</f>
        <v>88000</v>
      </c>
    </row>
    <row r="306" spans="1:34" s="87" customFormat="1" x14ac:dyDescent="0.25">
      <c r="A306" s="42" t="s">
        <v>775</v>
      </c>
      <c r="B306" s="49" t="s">
        <v>245</v>
      </c>
      <c r="C306" s="42" t="s">
        <v>767</v>
      </c>
      <c r="D306" s="105">
        <v>525699951</v>
      </c>
      <c r="E306" s="105">
        <v>9198400261</v>
      </c>
      <c r="F306" s="42" t="s">
        <v>252</v>
      </c>
      <c r="G306" s="84">
        <f>35400+(364+182)</f>
        <v>35946</v>
      </c>
      <c r="H306" s="53" t="str">
        <f>CHOOSE(MONTH(G306),"Jan","Feb","Mar","Apr","May","Jun","Jul","Aug","Sep","Oct","Nov","Dec")</f>
        <v>May</v>
      </c>
      <c r="I306" s="54">
        <f ca="1">DATEDIF(G306,TODAY(),"Y")</f>
        <v>18</v>
      </c>
      <c r="J306" s="55"/>
      <c r="K306" s="56">
        <v>14332</v>
      </c>
      <c r="L306" s="57">
        <v>5</v>
      </c>
      <c r="M306" s="62">
        <f>ROUND(K306*P304+K306,0)</f>
        <v>14332</v>
      </c>
      <c r="N306" s="103"/>
      <c r="O306" s="48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</row>
    <row r="307" spans="1:34" s="87" customFormat="1" x14ac:dyDescent="0.25">
      <c r="A307" s="42" t="s">
        <v>578</v>
      </c>
      <c r="B307" s="49" t="s">
        <v>280</v>
      </c>
      <c r="C307" s="42" t="s">
        <v>465</v>
      </c>
      <c r="D307" s="105">
        <v>969216994</v>
      </c>
      <c r="E307" s="105">
        <v>2528973095</v>
      </c>
      <c r="F307" s="42" t="s">
        <v>247</v>
      </c>
      <c r="G307" s="84">
        <f>35737+(364+182)</f>
        <v>36283</v>
      </c>
      <c r="H307" s="53" t="str">
        <f>CHOOSE(MONTH(G307),"Jan","Feb","Mar","Apr","May","Jun","Jul","Aug","Sep","Oct","Nov","Dec")</f>
        <v>May</v>
      </c>
      <c r="I307" s="54">
        <f ca="1">DATEDIF(G307,TODAY(),"Y")</f>
        <v>17</v>
      </c>
      <c r="J307" s="55"/>
      <c r="K307" s="56">
        <v>25130</v>
      </c>
      <c r="L307" s="57">
        <v>5</v>
      </c>
      <c r="M307" s="62">
        <f>ROUND(K307*P305+K307,0)</f>
        <v>25130</v>
      </c>
      <c r="N307" s="103"/>
      <c r="O307" s="48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</row>
    <row r="308" spans="1:34" s="87" customFormat="1" x14ac:dyDescent="0.25">
      <c r="A308" s="42" t="s">
        <v>859</v>
      </c>
      <c r="B308" s="49" t="s">
        <v>245</v>
      </c>
      <c r="C308" s="42" t="s">
        <v>856</v>
      </c>
      <c r="D308" s="105">
        <v>512404764</v>
      </c>
      <c r="E308" s="105">
        <v>9193976775</v>
      </c>
      <c r="F308" s="42" t="s">
        <v>256</v>
      </c>
      <c r="G308" s="84">
        <f>35744+(364+182)</f>
        <v>36290</v>
      </c>
      <c r="H308" s="53" t="str">
        <f>CHOOSE(MONTH(G308),"Jan","Feb","Mar","Apr","May","Jun","Jul","Aug","Sep","Oct","Nov","Dec")</f>
        <v>May</v>
      </c>
      <c r="I308" s="54">
        <f ca="1">DATEDIF(G308,TODAY(),"Y")</f>
        <v>17</v>
      </c>
      <c r="J308" s="55" t="s">
        <v>283</v>
      </c>
      <c r="K308" s="56">
        <v>39000</v>
      </c>
      <c r="L308" s="57">
        <v>3</v>
      </c>
      <c r="M308" s="62">
        <f>ROUND(K308*P306+K308,0)</f>
        <v>39000</v>
      </c>
      <c r="N308" s="103"/>
      <c r="O308" s="48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</row>
    <row r="309" spans="1:34" s="87" customFormat="1" x14ac:dyDescent="0.25">
      <c r="A309" s="42" t="s">
        <v>655</v>
      </c>
      <c r="B309" s="49" t="s">
        <v>266</v>
      </c>
      <c r="C309" s="42" t="s">
        <v>626</v>
      </c>
      <c r="D309" s="105">
        <v>355985853</v>
      </c>
      <c r="E309" s="105">
        <v>2525478716</v>
      </c>
      <c r="F309" s="42" t="s">
        <v>256</v>
      </c>
      <c r="G309" s="84">
        <f>35751+(364+182)</f>
        <v>36297</v>
      </c>
      <c r="H309" s="53" t="str">
        <f>CHOOSE(MONTH(G309),"Jan","Feb","Mar","Apr","May","Jun","Jul","Aug","Sep","Oct","Nov","Dec")</f>
        <v>May</v>
      </c>
      <c r="I309" s="54">
        <f ca="1">DATEDIF(G309,TODAY(),"Y")</f>
        <v>17</v>
      </c>
      <c r="J309" s="55" t="s">
        <v>257</v>
      </c>
      <c r="K309" s="56">
        <v>46030</v>
      </c>
      <c r="L309" s="57">
        <v>2</v>
      </c>
      <c r="M309" s="62">
        <f>ROUND(K309*P307+K309,0)</f>
        <v>46030</v>
      </c>
      <c r="N309" s="103"/>
      <c r="O309" s="48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</row>
    <row r="310" spans="1:34" s="87" customFormat="1" x14ac:dyDescent="0.25">
      <c r="A310" s="42" t="s">
        <v>840</v>
      </c>
      <c r="B310" s="49" t="s">
        <v>271</v>
      </c>
      <c r="C310" s="42" t="s">
        <v>767</v>
      </c>
      <c r="D310" s="105">
        <v>548283920</v>
      </c>
      <c r="E310" s="105">
        <v>2524160215</v>
      </c>
      <c r="F310" s="42" t="s">
        <v>247</v>
      </c>
      <c r="G310" s="84">
        <f>35751+(364+182)</f>
        <v>36297</v>
      </c>
      <c r="H310" s="53" t="str">
        <f>CHOOSE(MONTH(G310),"Jan","Feb","Mar","Apr","May","Jun","Jul","Aug","Sep","Oct","Nov","Dec")</f>
        <v>May</v>
      </c>
      <c r="I310" s="54">
        <f ca="1">DATEDIF(G310,TODAY(),"Y")</f>
        <v>17</v>
      </c>
      <c r="J310" s="55"/>
      <c r="K310" s="56">
        <v>57990</v>
      </c>
      <c r="L310" s="57">
        <v>5</v>
      </c>
      <c r="M310" s="62">
        <f>ROUND(K310*P308+K310,0)</f>
        <v>57990</v>
      </c>
      <c r="N310" s="103"/>
      <c r="O310" s="48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</row>
    <row r="311" spans="1:34" s="87" customFormat="1" x14ac:dyDescent="0.25">
      <c r="A311" s="42" t="s">
        <v>536</v>
      </c>
      <c r="B311" s="49" t="s">
        <v>271</v>
      </c>
      <c r="C311" s="42" t="s">
        <v>465</v>
      </c>
      <c r="D311" s="105">
        <v>506577536</v>
      </c>
      <c r="E311" s="105">
        <v>2524999647</v>
      </c>
      <c r="F311" s="42" t="s">
        <v>252</v>
      </c>
      <c r="G311" s="84">
        <f>35759+(364+182)</f>
        <v>36305</v>
      </c>
      <c r="H311" s="53" t="str">
        <f>CHOOSE(MONTH(G311),"Jan","Feb","Mar","Apr","May","Jun","Jul","Aug","Sep","Oct","Nov","Dec")</f>
        <v>May</v>
      </c>
      <c r="I311" s="54">
        <f ca="1">DATEDIF(G311,TODAY(),"Y")</f>
        <v>17</v>
      </c>
      <c r="J311" s="55"/>
      <c r="K311" s="56">
        <v>9424</v>
      </c>
      <c r="L311" s="57">
        <v>4</v>
      </c>
      <c r="M311" s="62">
        <f>ROUND(K311*P309+K311,0)</f>
        <v>9424</v>
      </c>
      <c r="N311" s="103"/>
      <c r="O311" s="48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</row>
    <row r="312" spans="1:34" s="87" customFormat="1" x14ac:dyDescent="0.25">
      <c r="A312" s="42" t="s">
        <v>634</v>
      </c>
      <c r="B312" s="49" t="s">
        <v>245</v>
      </c>
      <c r="C312" s="42" t="s">
        <v>626</v>
      </c>
      <c r="D312" s="105">
        <v>422929693</v>
      </c>
      <c r="E312" s="105">
        <v>9191487375</v>
      </c>
      <c r="F312" s="42" t="s">
        <v>256</v>
      </c>
      <c r="G312" s="84">
        <f>36116+(364+182)</f>
        <v>36662</v>
      </c>
      <c r="H312" s="53" t="str">
        <f>CHOOSE(MONTH(G312),"Jan","Feb","Mar","Apr","May","Jun","Jul","Aug","Sep","Oct","Nov","Dec")</f>
        <v>May</v>
      </c>
      <c r="I312" s="54">
        <f ca="1">DATEDIF(G312,TODAY(),"Y")</f>
        <v>16</v>
      </c>
      <c r="J312" s="55" t="s">
        <v>283</v>
      </c>
      <c r="K312" s="56">
        <v>52490</v>
      </c>
      <c r="L312" s="57">
        <v>4</v>
      </c>
      <c r="M312" s="62">
        <f>ROUND(K312*P310+K312,0)</f>
        <v>52490</v>
      </c>
      <c r="N312" s="103"/>
      <c r="O312" s="48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</row>
    <row r="313" spans="1:34" s="87" customFormat="1" x14ac:dyDescent="0.25">
      <c r="A313" s="42" t="s">
        <v>933</v>
      </c>
      <c r="B313" s="49" t="s">
        <v>285</v>
      </c>
      <c r="C313" s="42" t="s">
        <v>930</v>
      </c>
      <c r="D313" s="105">
        <v>163350417</v>
      </c>
      <c r="E313" s="105">
        <v>2526466230</v>
      </c>
      <c r="F313" s="42" t="s">
        <v>256</v>
      </c>
      <c r="G313" s="84">
        <f>36126+(364+182)</f>
        <v>36672</v>
      </c>
      <c r="H313" s="53" t="str">
        <f>CHOOSE(MONTH(G313),"Jan","Feb","Mar","Apr","May","Jun","Jul","Aug","Sep","Oct","Nov","Dec")</f>
        <v>May</v>
      </c>
      <c r="I313" s="54">
        <f ca="1">DATEDIF(G313,TODAY(),"Y")</f>
        <v>16</v>
      </c>
      <c r="J313" s="55" t="s">
        <v>262</v>
      </c>
      <c r="K313" s="56">
        <v>65320</v>
      </c>
      <c r="L313" s="57">
        <v>5</v>
      </c>
      <c r="M313" s="62">
        <f>ROUND(K313*P311+K313,0)</f>
        <v>65320</v>
      </c>
      <c r="N313" s="103"/>
      <c r="O313" s="48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</row>
    <row r="314" spans="1:34" s="87" customFormat="1" x14ac:dyDescent="0.25">
      <c r="A314" s="42" t="s">
        <v>461</v>
      </c>
      <c r="B314" s="49" t="s">
        <v>280</v>
      </c>
      <c r="C314" s="42" t="s">
        <v>456</v>
      </c>
      <c r="D314" s="105">
        <v>746497232</v>
      </c>
      <c r="E314" s="105">
        <v>9196681578</v>
      </c>
      <c r="F314" s="42" t="s">
        <v>247</v>
      </c>
      <c r="G314" s="84">
        <f>36127+(364+182)</f>
        <v>36673</v>
      </c>
      <c r="H314" s="53" t="str">
        <f>CHOOSE(MONTH(G314),"Jan","Feb","Mar","Apr","May","Jun","Jul","Aug","Sep","Oct","Nov","Dec")</f>
        <v>May</v>
      </c>
      <c r="I314" s="54">
        <f ca="1">DATEDIF(G314,TODAY(),"Y")</f>
        <v>16</v>
      </c>
      <c r="J314" s="55" t="s">
        <v>283</v>
      </c>
      <c r="K314" s="56">
        <v>69410</v>
      </c>
      <c r="L314" s="57">
        <v>4</v>
      </c>
      <c r="M314" s="62">
        <f>ROUND(K314*P312+K314,0)</f>
        <v>69410</v>
      </c>
      <c r="N314" s="103"/>
      <c r="O314" s="48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</row>
    <row r="315" spans="1:34" s="87" customFormat="1" x14ac:dyDescent="0.25">
      <c r="A315" s="42" t="s">
        <v>835</v>
      </c>
      <c r="B315" s="49" t="s">
        <v>271</v>
      </c>
      <c r="C315" s="42" t="s">
        <v>767</v>
      </c>
      <c r="D315" s="105">
        <v>737152868</v>
      </c>
      <c r="E315" s="105">
        <v>9191124357</v>
      </c>
      <c r="F315" s="42" t="s">
        <v>256</v>
      </c>
      <c r="G315" s="84">
        <f>36127+(364+182)</f>
        <v>36673</v>
      </c>
      <c r="H315" s="53" t="str">
        <f>CHOOSE(MONTH(G315),"Jan","Feb","Mar","Apr","May","Jun","Jul","Aug","Sep","Oct","Nov","Dec")</f>
        <v>May</v>
      </c>
      <c r="I315" s="54">
        <f ca="1">DATEDIF(G315,TODAY(),"Y")</f>
        <v>16</v>
      </c>
      <c r="J315" s="55" t="s">
        <v>276</v>
      </c>
      <c r="K315" s="56">
        <v>48330</v>
      </c>
      <c r="L315" s="57">
        <v>1</v>
      </c>
      <c r="M315" s="62">
        <f>ROUND(K315*P313+K315,0)</f>
        <v>48330</v>
      </c>
      <c r="N315" s="103"/>
      <c r="O315" s="48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</row>
    <row r="316" spans="1:34" s="87" customFormat="1" x14ac:dyDescent="0.25">
      <c r="A316" s="42" t="s">
        <v>345</v>
      </c>
      <c r="B316" s="49" t="s">
        <v>285</v>
      </c>
      <c r="C316" s="42" t="s">
        <v>312</v>
      </c>
      <c r="D316" s="105">
        <v>349979288</v>
      </c>
      <c r="E316" s="105">
        <v>9194629972</v>
      </c>
      <c r="F316" s="42" t="s">
        <v>256</v>
      </c>
      <c r="G316" s="84">
        <f>36472+(364+182)</f>
        <v>37018</v>
      </c>
      <c r="H316" s="53" t="str">
        <f>CHOOSE(MONTH(G316),"Jan","Feb","Mar","Apr","May","Jun","Jul","Aug","Sep","Oct","Nov","Dec")</f>
        <v>May</v>
      </c>
      <c r="I316" s="54">
        <f ca="1">DATEDIF(G316,TODAY(),"Y")</f>
        <v>15</v>
      </c>
      <c r="J316" s="55" t="s">
        <v>283</v>
      </c>
      <c r="K316" s="56">
        <v>28650</v>
      </c>
      <c r="L316" s="57">
        <v>4</v>
      </c>
      <c r="M316" s="62">
        <f>ROUND(K316*P314+K316,0)</f>
        <v>28650</v>
      </c>
      <c r="N316" s="103"/>
      <c r="O316" s="48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</row>
    <row r="317" spans="1:34" s="87" customFormat="1" x14ac:dyDescent="0.25">
      <c r="A317" s="42" t="s">
        <v>497</v>
      </c>
      <c r="B317" s="49" t="s">
        <v>285</v>
      </c>
      <c r="C317" s="42" t="s">
        <v>465</v>
      </c>
      <c r="D317" s="105">
        <v>337943008</v>
      </c>
      <c r="E317" s="105">
        <v>2521257896</v>
      </c>
      <c r="F317" s="42" t="s">
        <v>256</v>
      </c>
      <c r="G317" s="84">
        <f>36848+(364+182)</f>
        <v>37394</v>
      </c>
      <c r="H317" s="53" t="str">
        <f>CHOOSE(MONTH(G317),"Jan","Feb","Mar","Apr","May","Jun","Jul","Aug","Sep","Oct","Nov","Dec")</f>
        <v>May</v>
      </c>
      <c r="I317" s="54">
        <f ca="1">DATEDIF(G317,TODAY(),"Y")</f>
        <v>14</v>
      </c>
      <c r="J317" s="55" t="s">
        <v>257</v>
      </c>
      <c r="K317" s="56">
        <v>28970</v>
      </c>
      <c r="L317" s="57">
        <v>3</v>
      </c>
      <c r="M317" s="62">
        <f>ROUND(K317*P315+K317,0)</f>
        <v>28970</v>
      </c>
      <c r="N317" s="103"/>
      <c r="O317" s="48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</row>
    <row r="318" spans="1:34" s="87" customFormat="1" x14ac:dyDescent="0.25">
      <c r="A318" s="42" t="s">
        <v>289</v>
      </c>
      <c r="B318" s="49" t="s">
        <v>251</v>
      </c>
      <c r="C318" s="42" t="s">
        <v>272</v>
      </c>
      <c r="D318" s="105">
        <v>975603308</v>
      </c>
      <c r="E318" s="105">
        <v>9192693355</v>
      </c>
      <c r="F318" s="42" t="s">
        <v>256</v>
      </c>
      <c r="G318" s="84">
        <f>36858+(364+182)</f>
        <v>37404</v>
      </c>
      <c r="H318" s="53" t="str">
        <f>CHOOSE(MONTH(G318),"Jan","Feb","Mar","Apr","May","Jun","Jul","Aug","Sep","Oct","Nov","Dec")</f>
        <v>May</v>
      </c>
      <c r="I318" s="54">
        <f ca="1">DATEDIF(G318,TODAY(),"Y")</f>
        <v>14</v>
      </c>
      <c r="J318" s="55" t="s">
        <v>257</v>
      </c>
      <c r="K318" s="56">
        <v>30780</v>
      </c>
      <c r="L318" s="57">
        <v>4</v>
      </c>
      <c r="M318" s="62">
        <f>ROUND(K318*P316+K318,0)</f>
        <v>30780</v>
      </c>
      <c r="N318" s="103"/>
      <c r="O318" s="48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</row>
    <row r="319" spans="1:34" s="87" customFormat="1" x14ac:dyDescent="0.25">
      <c r="A319" s="42" t="s">
        <v>843</v>
      </c>
      <c r="B319" s="49" t="s">
        <v>271</v>
      </c>
      <c r="C319" s="42" t="s">
        <v>767</v>
      </c>
      <c r="D319" s="105">
        <v>339488599</v>
      </c>
      <c r="E319" s="105">
        <v>9191267946</v>
      </c>
      <c r="F319" s="42" t="s">
        <v>247</v>
      </c>
      <c r="G319" s="84">
        <f>36858+(364+182)</f>
        <v>37404</v>
      </c>
      <c r="H319" s="53" t="str">
        <f>CHOOSE(MONTH(G319),"Jan","Feb","Mar","Apr","May","Jun","Jul","Aug","Sep","Oct","Nov","Dec")</f>
        <v>May</v>
      </c>
      <c r="I319" s="54">
        <f ca="1">DATEDIF(G319,TODAY(),"Y")</f>
        <v>14</v>
      </c>
      <c r="J319" s="55"/>
      <c r="K319" s="56">
        <v>60070</v>
      </c>
      <c r="L319" s="57">
        <v>3</v>
      </c>
      <c r="M319" s="62">
        <f>ROUND(K319*P317+K319,0)</f>
        <v>60070</v>
      </c>
      <c r="N319" s="103"/>
      <c r="O319" s="48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</row>
    <row r="320" spans="1:34" s="87" customFormat="1" x14ac:dyDescent="0.25">
      <c r="A320" s="42" t="s">
        <v>624</v>
      </c>
      <c r="B320" s="49" t="s">
        <v>251</v>
      </c>
      <c r="C320" s="42" t="s">
        <v>618</v>
      </c>
      <c r="D320" s="105">
        <v>370608224</v>
      </c>
      <c r="E320" s="105">
        <v>2521535362</v>
      </c>
      <c r="F320" s="42" t="s">
        <v>256</v>
      </c>
      <c r="G320" s="84">
        <f>36861+(364+182)</f>
        <v>37407</v>
      </c>
      <c r="H320" s="53" t="str">
        <f>CHOOSE(MONTH(G320),"Jan","Feb","Mar","Apr","May","Jun","Jul","Aug","Sep","Oct","Nov","Dec")</f>
        <v>May</v>
      </c>
      <c r="I320" s="54">
        <f ca="1">DATEDIF(G320,TODAY(),"Y")</f>
        <v>14</v>
      </c>
      <c r="J320" s="55" t="s">
        <v>257</v>
      </c>
      <c r="K320" s="56">
        <v>59140</v>
      </c>
      <c r="L320" s="57">
        <v>5</v>
      </c>
      <c r="M320" s="62">
        <f>ROUND(K320*P318+K320,0)</f>
        <v>59140</v>
      </c>
      <c r="N320" s="103"/>
      <c r="O320" s="48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</row>
    <row r="321" spans="1:34" s="87" customFormat="1" x14ac:dyDescent="0.25">
      <c r="A321" s="42" t="s">
        <v>437</v>
      </c>
      <c r="B321" s="49" t="s">
        <v>285</v>
      </c>
      <c r="C321" s="42" t="s">
        <v>417</v>
      </c>
      <c r="D321" s="105">
        <v>541365827</v>
      </c>
      <c r="E321" s="105">
        <v>2525317859</v>
      </c>
      <c r="F321" s="42" t="s">
        <v>256</v>
      </c>
      <c r="G321" s="84">
        <f>37589+(364+182)</f>
        <v>38135</v>
      </c>
      <c r="H321" s="53" t="str">
        <f>CHOOSE(MONTH(G321),"Jan","Feb","Mar","Apr","May","Jun","Jul","Aug","Sep","Oct","Nov","Dec")</f>
        <v>May</v>
      </c>
      <c r="I321" s="54">
        <f ca="1">DATEDIF(G321,TODAY(),"Y")</f>
        <v>12</v>
      </c>
      <c r="J321" s="55" t="s">
        <v>267</v>
      </c>
      <c r="K321" s="56">
        <v>65560</v>
      </c>
      <c r="L321" s="57">
        <v>1</v>
      </c>
      <c r="M321" s="62">
        <f>ROUND(K321*P319+K321,0)</f>
        <v>65560</v>
      </c>
      <c r="N321" s="103"/>
      <c r="O321" s="48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</row>
    <row r="322" spans="1:34" x14ac:dyDescent="0.25">
      <c r="A322" s="42" t="s">
        <v>674</v>
      </c>
      <c r="B322" s="49" t="s">
        <v>251</v>
      </c>
      <c r="C322" s="42" t="s">
        <v>626</v>
      </c>
      <c r="D322" s="105">
        <v>788451186</v>
      </c>
      <c r="E322" s="105">
        <v>9191682521</v>
      </c>
      <c r="F322" s="42" t="s">
        <v>247</v>
      </c>
      <c r="G322" s="84">
        <f>37950+(364+182)</f>
        <v>38496</v>
      </c>
      <c r="H322" s="53" t="str">
        <f>CHOOSE(MONTH(G322),"Jan","Feb","Mar","Apr","May","Jun","Jul","Aug","Sep","Oct","Nov","Dec")</f>
        <v>May</v>
      </c>
      <c r="I322" s="54">
        <f ca="1">DATEDIF(G322,TODAY(),"Y")</f>
        <v>11</v>
      </c>
      <c r="J322" s="55"/>
      <c r="K322" s="56">
        <v>57520</v>
      </c>
      <c r="L322" s="57">
        <v>3</v>
      </c>
      <c r="M322" s="62">
        <f>ROUND(K322*P320+K322,0)</f>
        <v>57520</v>
      </c>
    </row>
    <row r="323" spans="1:34" x14ac:dyDescent="0.25">
      <c r="A323" s="42" t="s">
        <v>838</v>
      </c>
      <c r="B323" s="49" t="s">
        <v>266</v>
      </c>
      <c r="C323" s="42" t="s">
        <v>767</v>
      </c>
      <c r="D323" s="105">
        <v>289103201</v>
      </c>
      <c r="E323" s="105">
        <v>9192921836</v>
      </c>
      <c r="F323" s="42" t="s">
        <v>256</v>
      </c>
      <c r="G323" s="84">
        <f>38671+(364+182)</f>
        <v>39217</v>
      </c>
      <c r="H323" s="53" t="str">
        <f>CHOOSE(MONTH(G323),"Jan","Feb","Mar","Apr","May","Jun","Jul","Aug","Sep","Oct","Nov","Dec")</f>
        <v>May</v>
      </c>
      <c r="I323" s="54">
        <f ca="1">DATEDIF(G323,TODAY(),"Y")</f>
        <v>9</v>
      </c>
      <c r="J323" s="55" t="s">
        <v>257</v>
      </c>
      <c r="K323" s="56">
        <v>73830</v>
      </c>
      <c r="L323" s="57">
        <v>2</v>
      </c>
      <c r="M323" s="62">
        <f>ROUND(K323*P321+K323,0)</f>
        <v>73830</v>
      </c>
    </row>
    <row r="324" spans="1:34" x14ac:dyDescent="0.25">
      <c r="A324" s="42" t="s">
        <v>342</v>
      </c>
      <c r="B324" s="49" t="s">
        <v>285</v>
      </c>
      <c r="C324" s="42" t="s">
        <v>312</v>
      </c>
      <c r="D324" s="105">
        <v>653843221</v>
      </c>
      <c r="E324" s="105">
        <v>9197713771</v>
      </c>
      <c r="F324" s="42" t="s">
        <v>247</v>
      </c>
      <c r="G324" s="84">
        <f>39413+(364+182)</f>
        <v>39959</v>
      </c>
      <c r="H324" s="53" t="str">
        <f>CHOOSE(MONTH(G324),"Jan","Feb","Mar","Apr","May","Jun","Jul","Aug","Sep","Oct","Nov","Dec")</f>
        <v>May</v>
      </c>
      <c r="I324" s="54">
        <f ca="1">DATEDIF(G324,TODAY(),"Y")</f>
        <v>7</v>
      </c>
      <c r="J324" s="55"/>
      <c r="K324" s="56">
        <v>79460</v>
      </c>
      <c r="L324" s="57">
        <v>5</v>
      </c>
      <c r="M324" s="62">
        <f>ROUND(K324*P322+K324,0)</f>
        <v>79460</v>
      </c>
    </row>
    <row r="325" spans="1:34" x14ac:dyDescent="0.25">
      <c r="A325" s="42" t="s">
        <v>385</v>
      </c>
      <c r="B325" s="49" t="s">
        <v>271</v>
      </c>
      <c r="C325" s="42" t="s">
        <v>381</v>
      </c>
      <c r="D325" s="105">
        <v>651995963</v>
      </c>
      <c r="E325" s="105">
        <v>9194944945</v>
      </c>
      <c r="F325" s="42" t="s">
        <v>252</v>
      </c>
      <c r="G325" s="106">
        <f>39767+(364+182)</f>
        <v>40313</v>
      </c>
      <c r="H325" s="53" t="str">
        <f>CHOOSE(MONTH(G325),"Jan","Feb","Mar","Apr","May","Jun","Jul","Aug","Sep","Oct","Nov","Dec")</f>
        <v>May</v>
      </c>
      <c r="I325" s="54">
        <f ca="1">DATEDIF(G325,TODAY(),"Y")</f>
        <v>6</v>
      </c>
      <c r="J325" s="55"/>
      <c r="K325" s="56">
        <v>27484</v>
      </c>
      <c r="L325" s="57">
        <v>4</v>
      </c>
      <c r="M325" s="62">
        <f>ROUND(K325*P323+K325,0)</f>
        <v>27484</v>
      </c>
      <c r="O325" s="104"/>
    </row>
    <row r="326" spans="1:34" x14ac:dyDescent="0.25">
      <c r="A326" s="42" t="s">
        <v>623</v>
      </c>
      <c r="B326" s="49" t="s">
        <v>266</v>
      </c>
      <c r="C326" s="42" t="s">
        <v>618</v>
      </c>
      <c r="D326" s="105">
        <v>723930767</v>
      </c>
      <c r="E326" s="105">
        <v>9191375297</v>
      </c>
      <c r="F326" s="42" t="s">
        <v>256</v>
      </c>
      <c r="G326" s="106">
        <f>39767+(364+182)</f>
        <v>40313</v>
      </c>
      <c r="H326" s="53" t="str">
        <f>CHOOSE(MONTH(G326),"Jan","Feb","Mar","Apr","May","Jun","Jul","Aug","Sep","Oct","Nov","Dec")</f>
        <v>May</v>
      </c>
      <c r="I326" s="54">
        <f ca="1">DATEDIF(G326,TODAY(),"Y")</f>
        <v>6</v>
      </c>
      <c r="J326" s="55" t="s">
        <v>283</v>
      </c>
      <c r="K326" s="56">
        <v>27250</v>
      </c>
      <c r="L326" s="57">
        <v>5</v>
      </c>
      <c r="M326" s="62">
        <f>ROUND(K326*P324+K326,0)</f>
        <v>27250</v>
      </c>
    </row>
    <row r="327" spans="1:34" x14ac:dyDescent="0.25">
      <c r="A327" s="42" t="s">
        <v>615</v>
      </c>
      <c r="B327" s="49" t="s">
        <v>271</v>
      </c>
      <c r="C327" s="42" t="s">
        <v>465</v>
      </c>
      <c r="D327" s="105">
        <v>843064707</v>
      </c>
      <c r="E327" s="105">
        <v>9192687844</v>
      </c>
      <c r="F327" s="42" t="s">
        <v>247</v>
      </c>
      <c r="G327" s="106">
        <f>40134+(364+182)</f>
        <v>40680</v>
      </c>
      <c r="H327" s="53" t="str">
        <f>CHOOSE(MONTH(G327),"Jan","Feb","Mar","Apr","May","Jun","Jul","Aug","Sep","Oct","Nov","Dec")</f>
        <v>May</v>
      </c>
      <c r="I327" s="54">
        <f ca="1">DATEDIF(G327,TODAY(),"Y")</f>
        <v>5</v>
      </c>
      <c r="J327" s="55"/>
      <c r="K327" s="56">
        <v>57110</v>
      </c>
      <c r="L327" s="57">
        <v>3</v>
      </c>
      <c r="M327" s="62">
        <f>ROUND(K327*P325+K327,0)</f>
        <v>57110</v>
      </c>
    </row>
    <row r="328" spans="1:34" x14ac:dyDescent="0.25">
      <c r="A328" s="42" t="s">
        <v>990</v>
      </c>
      <c r="B328" s="49" t="s">
        <v>271</v>
      </c>
      <c r="C328" s="42" t="s">
        <v>930</v>
      </c>
      <c r="D328" s="105">
        <v>308317457</v>
      </c>
      <c r="E328" s="105">
        <v>9192729524</v>
      </c>
      <c r="F328" s="42" t="s">
        <v>256</v>
      </c>
      <c r="G328" s="106">
        <f>40134+(364+182)</f>
        <v>40680</v>
      </c>
      <c r="H328" s="53" t="str">
        <f>CHOOSE(MONTH(G328),"Jan","Feb","Mar","Apr","May","Jun","Jul","Aug","Sep","Oct","Nov","Dec")</f>
        <v>May</v>
      </c>
      <c r="I328" s="54">
        <f ca="1">DATEDIF(G328,TODAY(),"Y")</f>
        <v>5</v>
      </c>
      <c r="J328" s="55" t="s">
        <v>257</v>
      </c>
      <c r="K328" s="56">
        <v>23030</v>
      </c>
      <c r="L328" s="57">
        <v>4</v>
      </c>
      <c r="M328" s="62">
        <f>ROUND(K328*P326+K328,0)</f>
        <v>23030</v>
      </c>
    </row>
    <row r="329" spans="1:34" x14ac:dyDescent="0.25">
      <c r="A329" s="42" t="s">
        <v>1009</v>
      </c>
      <c r="B329" s="49" t="s">
        <v>271</v>
      </c>
      <c r="C329" s="42" t="s">
        <v>930</v>
      </c>
      <c r="D329" s="105">
        <v>159594851</v>
      </c>
      <c r="E329" s="105">
        <v>9194084456</v>
      </c>
      <c r="F329" s="42" t="s">
        <v>256</v>
      </c>
      <c r="G329" s="106">
        <f>40134+(364+182)</f>
        <v>40680</v>
      </c>
      <c r="H329" s="53" t="str">
        <f>CHOOSE(MONTH(G329),"Jan","Feb","Mar","Apr","May","Jun","Jul","Aug","Sep","Oct","Nov","Dec")</f>
        <v>May</v>
      </c>
      <c r="I329" s="54">
        <f ca="1">DATEDIF(G329,TODAY(),"Y")</f>
        <v>5</v>
      </c>
      <c r="J329" s="55" t="s">
        <v>276</v>
      </c>
      <c r="K329" s="56">
        <v>40260</v>
      </c>
      <c r="L329" s="57">
        <v>5</v>
      </c>
      <c r="M329" s="62">
        <f>ROUND(K329*P327+K329,0)</f>
        <v>40260</v>
      </c>
    </row>
    <row r="330" spans="1:34" x14ac:dyDescent="0.25">
      <c r="A330" s="42" t="s">
        <v>962</v>
      </c>
      <c r="B330" s="49" t="s">
        <v>285</v>
      </c>
      <c r="C330" s="42" t="s">
        <v>930</v>
      </c>
      <c r="D330" s="105">
        <v>277423593</v>
      </c>
      <c r="E330" s="105">
        <v>9195790921</v>
      </c>
      <c r="F330" s="42" t="s">
        <v>261</v>
      </c>
      <c r="G330" s="84">
        <f>32845+(364+182)</f>
        <v>33391</v>
      </c>
      <c r="H330" s="53" t="str">
        <f>CHOOSE(MONTH(G330),"Jan","Feb","Mar","Apr","May","Jun","Jul","Aug","Sep","Oct","Nov","Dec")</f>
        <v>Jun</v>
      </c>
      <c r="I330" s="54">
        <f ca="1">DATEDIF(G330,TODAY(),"Y")</f>
        <v>25</v>
      </c>
      <c r="J330" s="55" t="s">
        <v>283</v>
      </c>
      <c r="K330" s="56">
        <v>13455</v>
      </c>
      <c r="L330" s="57">
        <v>2</v>
      </c>
      <c r="M330" s="62">
        <f>ROUND(K330*P328+K330,0)</f>
        <v>13455</v>
      </c>
    </row>
    <row r="331" spans="1:34" x14ac:dyDescent="0.25">
      <c r="A331" s="42" t="s">
        <v>989</v>
      </c>
      <c r="B331" s="49" t="s">
        <v>245</v>
      </c>
      <c r="C331" s="42" t="s">
        <v>930</v>
      </c>
      <c r="D331" s="105">
        <v>877574472</v>
      </c>
      <c r="E331" s="105">
        <v>2524100997</v>
      </c>
      <c r="F331" s="42" t="s">
        <v>247</v>
      </c>
      <c r="G331" s="84">
        <f>32855+(364+182)</f>
        <v>33401</v>
      </c>
      <c r="H331" s="53" t="str">
        <f>CHOOSE(MONTH(G331),"Jan","Feb","Mar","Apr","May","Jun","Jul","Aug","Sep","Oct","Nov","Dec")</f>
        <v>Jun</v>
      </c>
      <c r="I331" s="54">
        <f ca="1">DATEDIF(G331,TODAY(),"Y")</f>
        <v>25</v>
      </c>
      <c r="J331" s="55"/>
      <c r="K331" s="56">
        <v>34680</v>
      </c>
      <c r="L331" s="57">
        <v>5</v>
      </c>
      <c r="M331" s="62">
        <f>ROUND(K331*P329+K331,0)</f>
        <v>34680</v>
      </c>
    </row>
    <row r="332" spans="1:34" x14ac:dyDescent="0.25">
      <c r="A332" s="42" t="s">
        <v>832</v>
      </c>
      <c r="B332" s="49" t="s">
        <v>271</v>
      </c>
      <c r="C332" s="42" t="s">
        <v>767</v>
      </c>
      <c r="D332" s="105">
        <v>462650472</v>
      </c>
      <c r="E332" s="105">
        <v>2521276517</v>
      </c>
      <c r="F332" s="42" t="s">
        <v>247</v>
      </c>
      <c r="G332" s="84">
        <f>32856+(364+182)</f>
        <v>33402</v>
      </c>
      <c r="H332" s="53" t="str">
        <f>CHOOSE(MONTH(G332),"Jan","Feb","Mar","Apr","May","Jun","Jul","Aug","Sep","Oct","Nov","Dec")</f>
        <v>Jun</v>
      </c>
      <c r="I332" s="54">
        <f ca="1">DATEDIF(G332,TODAY(),"Y")</f>
        <v>25</v>
      </c>
      <c r="J332" s="55"/>
      <c r="K332" s="56">
        <v>79380</v>
      </c>
      <c r="L332" s="57">
        <v>1</v>
      </c>
      <c r="M332" s="62">
        <f>ROUND(K332*P330+K332,0)</f>
        <v>79380</v>
      </c>
    </row>
    <row r="333" spans="1:34" x14ac:dyDescent="0.25">
      <c r="A333" s="42" t="s">
        <v>428</v>
      </c>
      <c r="B333" s="49" t="s">
        <v>271</v>
      </c>
      <c r="C333" s="42" t="s">
        <v>417</v>
      </c>
      <c r="D333" s="105">
        <v>503349830</v>
      </c>
      <c r="E333" s="105">
        <v>9191999230</v>
      </c>
      <c r="F333" s="42" t="s">
        <v>256</v>
      </c>
      <c r="G333" s="84">
        <f>32859+(364+182)</f>
        <v>33405</v>
      </c>
      <c r="H333" s="53" t="str">
        <f>CHOOSE(MONTH(G333),"Jan","Feb","Mar","Apr","May","Jun","Jul","Aug","Sep","Oct","Nov","Dec")</f>
        <v>Jun</v>
      </c>
      <c r="I333" s="54">
        <f ca="1">DATEDIF(G333,TODAY(),"Y")</f>
        <v>25</v>
      </c>
      <c r="J333" s="55" t="s">
        <v>283</v>
      </c>
      <c r="K333" s="56">
        <v>32140</v>
      </c>
      <c r="L333" s="57">
        <v>2</v>
      </c>
      <c r="M333" s="62">
        <f>ROUND(K333*P331+K333,0)</f>
        <v>32140</v>
      </c>
    </row>
    <row r="334" spans="1:34" x14ac:dyDescent="0.25">
      <c r="A334" s="42" t="s">
        <v>641</v>
      </c>
      <c r="B334" s="49" t="s">
        <v>251</v>
      </c>
      <c r="C334" s="42" t="s">
        <v>626</v>
      </c>
      <c r="D334" s="105">
        <v>154984918</v>
      </c>
      <c r="E334" s="105">
        <v>2521575684</v>
      </c>
      <c r="F334" s="42" t="s">
        <v>256</v>
      </c>
      <c r="G334" s="84">
        <f>32861+(364+182)</f>
        <v>33407</v>
      </c>
      <c r="H334" s="53" t="str">
        <f>CHOOSE(MONTH(G334),"Jan","Feb","Mar","Apr","May","Jun","Jul","Aug","Sep","Oct","Nov","Dec")</f>
        <v>Jun</v>
      </c>
      <c r="I334" s="54">
        <f ca="1">DATEDIF(G334,TODAY(),"Y")</f>
        <v>25</v>
      </c>
      <c r="J334" s="55" t="s">
        <v>257</v>
      </c>
      <c r="K334" s="56">
        <v>22900</v>
      </c>
      <c r="L334" s="57">
        <v>1</v>
      </c>
      <c r="M334" s="62">
        <f>ROUND(K334*P332+K334,0)</f>
        <v>22900</v>
      </c>
    </row>
    <row r="335" spans="1:34" x14ac:dyDescent="0.25">
      <c r="A335" s="42" t="s">
        <v>994</v>
      </c>
      <c r="B335" s="49" t="s">
        <v>280</v>
      </c>
      <c r="C335" s="42" t="s">
        <v>930</v>
      </c>
      <c r="D335" s="105">
        <v>643984096</v>
      </c>
      <c r="E335" s="105">
        <v>9191630739</v>
      </c>
      <c r="F335" s="42" t="s">
        <v>247</v>
      </c>
      <c r="G335" s="84">
        <f>32867+(364+182)</f>
        <v>33413</v>
      </c>
      <c r="H335" s="53" t="str">
        <f>CHOOSE(MONTH(G335),"Jan","Feb","Mar","Apr","May","Jun","Jul","Aug","Sep","Oct","Nov","Dec")</f>
        <v>Jun</v>
      </c>
      <c r="I335" s="54">
        <f ca="1">DATEDIF(G335,TODAY(),"Y")</f>
        <v>25</v>
      </c>
      <c r="J335" s="55"/>
      <c r="K335" s="56">
        <v>26020</v>
      </c>
      <c r="L335" s="57">
        <v>5</v>
      </c>
      <c r="M335" s="62">
        <f>ROUND(K335*P333+K335,0)</f>
        <v>26020</v>
      </c>
    </row>
    <row r="336" spans="1:34" x14ac:dyDescent="0.25">
      <c r="A336" s="42" t="s">
        <v>631</v>
      </c>
      <c r="B336" s="49" t="s">
        <v>251</v>
      </c>
      <c r="C336" s="42" t="s">
        <v>626</v>
      </c>
      <c r="D336" s="105">
        <v>159415552</v>
      </c>
      <c r="E336" s="105">
        <v>9194221208</v>
      </c>
      <c r="F336" s="42" t="s">
        <v>256</v>
      </c>
      <c r="G336" s="84">
        <f>33219+(364+182)</f>
        <v>33765</v>
      </c>
      <c r="H336" s="53" t="str">
        <f>CHOOSE(MONTH(G336),"Jan","Feb","Mar","Apr","May","Jun","Jul","Aug","Sep","Oct","Nov","Dec")</f>
        <v>Jun</v>
      </c>
      <c r="I336" s="54">
        <f ca="1">DATEDIF(G336,TODAY(),"Y")</f>
        <v>24</v>
      </c>
      <c r="J336" s="55" t="s">
        <v>262</v>
      </c>
      <c r="K336" s="56">
        <v>73930</v>
      </c>
      <c r="L336" s="57">
        <v>1</v>
      </c>
      <c r="M336" s="62">
        <f>ROUND(K336*P334+K336,0)</f>
        <v>73930</v>
      </c>
    </row>
    <row r="337" spans="1:34" x14ac:dyDescent="0.25">
      <c r="A337" s="42" t="s">
        <v>512</v>
      </c>
      <c r="B337" s="49" t="s">
        <v>285</v>
      </c>
      <c r="C337" s="42" t="s">
        <v>465</v>
      </c>
      <c r="D337" s="105">
        <v>428024993</v>
      </c>
      <c r="E337" s="105">
        <v>9196410575</v>
      </c>
      <c r="F337" s="42" t="s">
        <v>247</v>
      </c>
      <c r="G337" s="84">
        <f>33228+(364+182)</f>
        <v>33774</v>
      </c>
      <c r="H337" s="53" t="str">
        <f>CHOOSE(MONTH(G337),"Jan","Feb","Mar","Apr","May","Jun","Jul","Aug","Sep","Oct","Nov","Dec")</f>
        <v>Jun</v>
      </c>
      <c r="I337" s="54">
        <f ca="1">DATEDIF(G337,TODAY(),"Y")</f>
        <v>24</v>
      </c>
      <c r="J337" s="55"/>
      <c r="K337" s="56">
        <v>32190</v>
      </c>
      <c r="L337" s="57">
        <v>3</v>
      </c>
      <c r="M337" s="62">
        <f>ROUND(K337*P335+K337,0)</f>
        <v>32190</v>
      </c>
    </row>
    <row r="338" spans="1:34" s="87" customFormat="1" x14ac:dyDescent="0.25">
      <c r="A338" s="42" t="s">
        <v>988</v>
      </c>
      <c r="B338" s="49" t="s">
        <v>285</v>
      </c>
      <c r="C338" s="42" t="s">
        <v>930</v>
      </c>
      <c r="D338" s="105">
        <v>763182349</v>
      </c>
      <c r="E338" s="105">
        <v>2527780776</v>
      </c>
      <c r="F338" s="42" t="s">
        <v>247</v>
      </c>
      <c r="G338" s="84">
        <f>33580+(364+182)</f>
        <v>34126</v>
      </c>
      <c r="H338" s="53" t="str">
        <f>CHOOSE(MONTH(G338),"Jan","Feb","Mar","Apr","May","Jun","Jul","Aug","Sep","Oct","Nov","Dec")</f>
        <v>Jun</v>
      </c>
      <c r="I338" s="54">
        <f ca="1">DATEDIF(G338,TODAY(),"Y")</f>
        <v>23</v>
      </c>
      <c r="J338" s="55"/>
      <c r="K338" s="56">
        <v>75550</v>
      </c>
      <c r="L338" s="57">
        <v>3</v>
      </c>
      <c r="M338" s="62">
        <f>ROUND(K338*P336+K338,0)</f>
        <v>75550</v>
      </c>
      <c r="N338" s="103"/>
      <c r="O338" s="48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</row>
    <row r="339" spans="1:34" s="87" customFormat="1" x14ac:dyDescent="0.25">
      <c r="A339" s="42" t="s">
        <v>1015</v>
      </c>
      <c r="B339" s="49" t="s">
        <v>280</v>
      </c>
      <c r="C339" s="42" t="s">
        <v>930</v>
      </c>
      <c r="D339" s="105">
        <v>641962645</v>
      </c>
      <c r="E339" s="105">
        <v>9196965088</v>
      </c>
      <c r="F339" s="42" t="s">
        <v>247</v>
      </c>
      <c r="G339" s="84">
        <f>33589+(364+182)</f>
        <v>34135</v>
      </c>
      <c r="H339" s="53" t="str">
        <f>CHOOSE(MONTH(G339),"Jan","Feb","Mar","Apr","May","Jun","Jul","Aug","Sep","Oct","Nov","Dec")</f>
        <v>Jun</v>
      </c>
      <c r="I339" s="54">
        <f ca="1">DATEDIF(G339,TODAY(),"Y")</f>
        <v>23</v>
      </c>
      <c r="J339" s="55"/>
      <c r="K339" s="56">
        <v>78590</v>
      </c>
      <c r="L339" s="57">
        <v>1</v>
      </c>
      <c r="M339" s="62">
        <f>ROUND(K339*P337+K339,0)</f>
        <v>78590</v>
      </c>
      <c r="N339" s="103"/>
      <c r="O339" s="48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</row>
    <row r="340" spans="1:34" s="87" customFormat="1" x14ac:dyDescent="0.25">
      <c r="A340" s="42" t="s">
        <v>948</v>
      </c>
      <c r="B340" s="49" t="s">
        <v>285</v>
      </c>
      <c r="C340" s="42" t="s">
        <v>930</v>
      </c>
      <c r="D340" s="105">
        <v>891224981</v>
      </c>
      <c r="E340" s="105">
        <v>2526391402</v>
      </c>
      <c r="F340" s="42" t="s">
        <v>261</v>
      </c>
      <c r="G340" s="84">
        <f>33594+(364+182)</f>
        <v>34140</v>
      </c>
      <c r="H340" s="53" t="str">
        <f>CHOOSE(MONTH(G340),"Jan","Feb","Mar","Apr","May","Jun","Jul","Aug","Sep","Oct","Nov","Dec")</f>
        <v>Jun</v>
      </c>
      <c r="I340" s="54">
        <f ca="1">DATEDIF(G340,TODAY(),"Y")</f>
        <v>23</v>
      </c>
      <c r="J340" s="55" t="s">
        <v>276</v>
      </c>
      <c r="K340" s="56">
        <v>11230</v>
      </c>
      <c r="L340" s="57">
        <v>4</v>
      </c>
      <c r="M340" s="62">
        <f>ROUND(K340*P338+K340,0)</f>
        <v>11230</v>
      </c>
      <c r="N340" s="103"/>
      <c r="O340" s="48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</row>
    <row r="341" spans="1:34" s="87" customFormat="1" x14ac:dyDescent="0.25">
      <c r="A341" s="42" t="s">
        <v>498</v>
      </c>
      <c r="B341" s="49" t="s">
        <v>271</v>
      </c>
      <c r="C341" s="42" t="s">
        <v>465</v>
      </c>
      <c r="D341" s="105">
        <v>220781349</v>
      </c>
      <c r="E341" s="105">
        <v>2525185281</v>
      </c>
      <c r="F341" s="42" t="s">
        <v>247</v>
      </c>
      <c r="G341" s="84">
        <f>33603+(364+182)</f>
        <v>34149</v>
      </c>
      <c r="H341" s="53" t="str">
        <f>CHOOSE(MONTH(G341),"Jan","Feb","Mar","Apr","May","Jun","Jul","Aug","Sep","Oct","Nov","Dec")</f>
        <v>Jun</v>
      </c>
      <c r="I341" s="54">
        <f ca="1">DATEDIF(G341,TODAY(),"Y")</f>
        <v>23</v>
      </c>
      <c r="J341" s="55"/>
      <c r="K341" s="56">
        <v>45770</v>
      </c>
      <c r="L341" s="57">
        <v>5</v>
      </c>
      <c r="M341" s="62">
        <f>ROUND(K341*P339+K341,0)</f>
        <v>45770</v>
      </c>
      <c r="N341" s="103"/>
      <c r="O341" s="48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</row>
    <row r="342" spans="1:34" s="87" customFormat="1" x14ac:dyDescent="0.25">
      <c r="A342" s="42" t="s">
        <v>779</v>
      </c>
      <c r="B342" s="49" t="s">
        <v>285</v>
      </c>
      <c r="C342" s="42" t="s">
        <v>767</v>
      </c>
      <c r="D342" s="105">
        <v>967035612</v>
      </c>
      <c r="E342" s="105">
        <v>2528842613</v>
      </c>
      <c r="F342" s="42" t="s">
        <v>256</v>
      </c>
      <c r="G342" s="84">
        <f>33603+(364+182)</f>
        <v>34149</v>
      </c>
      <c r="H342" s="53" t="str">
        <f>CHOOSE(MONTH(G342),"Jan","Feb","Mar","Apr","May","Jun","Jul","Aug","Sep","Oct","Nov","Dec")</f>
        <v>Jun</v>
      </c>
      <c r="I342" s="54">
        <f ca="1">DATEDIF(G342,TODAY(),"Y")</f>
        <v>23</v>
      </c>
      <c r="J342" s="55" t="s">
        <v>276</v>
      </c>
      <c r="K342" s="56">
        <v>63440</v>
      </c>
      <c r="L342" s="57">
        <v>3</v>
      </c>
      <c r="M342" s="62">
        <f>ROUND(K342*P340+K342,0)</f>
        <v>63440</v>
      </c>
      <c r="N342" s="103"/>
      <c r="O342" s="48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</row>
    <row r="343" spans="1:34" s="87" customFormat="1" x14ac:dyDescent="0.25">
      <c r="A343" s="42" t="s">
        <v>716</v>
      </c>
      <c r="B343" s="49" t="s">
        <v>251</v>
      </c>
      <c r="C343" s="42" t="s">
        <v>705</v>
      </c>
      <c r="D343" s="105">
        <v>761337848</v>
      </c>
      <c r="E343" s="105">
        <v>9193967339</v>
      </c>
      <c r="F343" s="42" t="s">
        <v>247</v>
      </c>
      <c r="G343" s="84">
        <f>33956+(364+182)</f>
        <v>34502</v>
      </c>
      <c r="H343" s="53" t="str">
        <f>CHOOSE(MONTH(G343),"Jan","Feb","Mar","Apr","May","Jun","Jul","Aug","Sep","Oct","Nov","Dec")</f>
        <v>Jun</v>
      </c>
      <c r="I343" s="54">
        <f ca="1">DATEDIF(G343,TODAY(),"Y")</f>
        <v>22</v>
      </c>
      <c r="J343" s="55"/>
      <c r="K343" s="56">
        <v>66710</v>
      </c>
      <c r="L343" s="57">
        <v>2</v>
      </c>
      <c r="M343" s="62">
        <f>ROUND(K343*P341+K343,0)</f>
        <v>66710</v>
      </c>
      <c r="N343" s="103"/>
      <c r="O343" s="48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</row>
    <row r="344" spans="1:34" s="87" customFormat="1" x14ac:dyDescent="0.25">
      <c r="A344" s="42" t="s">
        <v>637</v>
      </c>
      <c r="B344" s="49" t="s">
        <v>285</v>
      </c>
      <c r="C344" s="42" t="s">
        <v>626</v>
      </c>
      <c r="D344" s="105">
        <v>385074661</v>
      </c>
      <c r="E344" s="105">
        <v>2527451745</v>
      </c>
      <c r="F344" s="42" t="s">
        <v>256</v>
      </c>
      <c r="G344" s="84">
        <f>34329+(364+182)</f>
        <v>34875</v>
      </c>
      <c r="H344" s="53" t="str">
        <f>CHOOSE(MONTH(G344),"Jan","Feb","Mar","Apr","May","Jun","Jul","Aug","Sep","Oct","Nov","Dec")</f>
        <v>Jun</v>
      </c>
      <c r="I344" s="54">
        <f ca="1">DATEDIF(G344,TODAY(),"Y")</f>
        <v>21</v>
      </c>
      <c r="J344" s="55" t="s">
        <v>276</v>
      </c>
      <c r="K344" s="56">
        <v>66920</v>
      </c>
      <c r="L344" s="57">
        <v>2</v>
      </c>
      <c r="M344" s="62">
        <f>ROUND(K344*P342+K344,0)</f>
        <v>66920</v>
      </c>
      <c r="N344" s="103"/>
      <c r="O344" s="48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</row>
    <row r="345" spans="1:34" s="87" customFormat="1" x14ac:dyDescent="0.25">
      <c r="A345" s="42" t="s">
        <v>774</v>
      </c>
      <c r="B345" s="49" t="s">
        <v>271</v>
      </c>
      <c r="C345" s="42" t="s">
        <v>767</v>
      </c>
      <c r="D345" s="105">
        <v>214291610</v>
      </c>
      <c r="E345" s="105">
        <v>2523858464</v>
      </c>
      <c r="F345" s="42" t="s">
        <v>256</v>
      </c>
      <c r="G345" s="84">
        <f>34673+(364+182)</f>
        <v>35219</v>
      </c>
      <c r="H345" s="53" t="str">
        <f>CHOOSE(MONTH(G345),"Jan","Feb","Mar","Apr","May","Jun","Jul","Aug","Sep","Oct","Nov","Dec")</f>
        <v>Jun</v>
      </c>
      <c r="I345" s="54">
        <f ca="1">DATEDIF(G345,TODAY(),"Y")</f>
        <v>20</v>
      </c>
      <c r="J345" s="55" t="s">
        <v>257</v>
      </c>
      <c r="K345" s="56">
        <v>47340</v>
      </c>
      <c r="L345" s="57">
        <v>2</v>
      </c>
      <c r="M345" s="62">
        <f>ROUND(K345*P343+K345,0)</f>
        <v>47340</v>
      </c>
      <c r="N345" s="103"/>
      <c r="O345" s="48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</row>
    <row r="346" spans="1:34" s="87" customFormat="1" x14ac:dyDescent="0.25">
      <c r="A346" s="42" t="s">
        <v>670</v>
      </c>
      <c r="B346" s="49" t="s">
        <v>245</v>
      </c>
      <c r="C346" s="42" t="s">
        <v>626</v>
      </c>
      <c r="D346" s="105">
        <v>917714039</v>
      </c>
      <c r="E346" s="105">
        <v>9194402150</v>
      </c>
      <c r="F346" s="42" t="s">
        <v>256</v>
      </c>
      <c r="G346" s="84">
        <f>34674+(364+182)</f>
        <v>35220</v>
      </c>
      <c r="H346" s="53" t="str">
        <f>CHOOSE(MONTH(G346),"Jan","Feb","Mar","Apr","May","Jun","Jul","Aug","Sep","Oct","Nov","Dec")</f>
        <v>Jun</v>
      </c>
      <c r="I346" s="54">
        <f ca="1">DATEDIF(G346,TODAY(),"Y")</f>
        <v>20</v>
      </c>
      <c r="J346" s="55" t="s">
        <v>267</v>
      </c>
      <c r="K346" s="56">
        <v>70480</v>
      </c>
      <c r="L346" s="57">
        <v>4</v>
      </c>
      <c r="M346" s="62">
        <f>ROUND(K346*P344+K346,0)</f>
        <v>70480</v>
      </c>
      <c r="N346" s="103"/>
      <c r="O346" s="48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</row>
    <row r="347" spans="1:34" s="87" customFormat="1" x14ac:dyDescent="0.25">
      <c r="A347" s="42" t="s">
        <v>566</v>
      </c>
      <c r="B347" s="49" t="s">
        <v>271</v>
      </c>
      <c r="C347" s="42" t="s">
        <v>465</v>
      </c>
      <c r="D347" s="105">
        <v>853268713</v>
      </c>
      <c r="E347" s="105">
        <v>9192712826</v>
      </c>
      <c r="F347" s="42" t="s">
        <v>256</v>
      </c>
      <c r="G347" s="84">
        <f>35043+(364+182)</f>
        <v>35589</v>
      </c>
      <c r="H347" s="53" t="str">
        <f>CHOOSE(MONTH(G347),"Jan","Feb","Mar","Apr","May","Jun","Jul","Aug","Sep","Oct","Nov","Dec")</f>
        <v>Jun</v>
      </c>
      <c r="I347" s="54">
        <f ca="1">DATEDIF(G347,TODAY(),"Y")</f>
        <v>19</v>
      </c>
      <c r="J347" s="55" t="s">
        <v>257</v>
      </c>
      <c r="K347" s="56">
        <v>60280</v>
      </c>
      <c r="L347" s="57">
        <v>1</v>
      </c>
      <c r="M347" s="62">
        <f>ROUND(K347*P345+K347,0)</f>
        <v>60280</v>
      </c>
      <c r="N347" s="103"/>
      <c r="O347" s="48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</row>
    <row r="348" spans="1:34" s="87" customFormat="1" x14ac:dyDescent="0.25">
      <c r="A348" s="42" t="s">
        <v>592</v>
      </c>
      <c r="B348" s="49" t="s">
        <v>251</v>
      </c>
      <c r="C348" s="42" t="s">
        <v>465</v>
      </c>
      <c r="D348" s="105">
        <v>696435191</v>
      </c>
      <c r="E348" s="105">
        <v>2527710498</v>
      </c>
      <c r="F348" s="42" t="s">
        <v>256</v>
      </c>
      <c r="G348" s="84">
        <f>35045+(364+182)</f>
        <v>35591</v>
      </c>
      <c r="H348" s="53" t="str">
        <f>CHOOSE(MONTH(G348),"Jan","Feb","Mar","Apr","May","Jun","Jul","Aug","Sep","Oct","Nov","Dec")</f>
        <v>Jun</v>
      </c>
      <c r="I348" s="54">
        <f ca="1">DATEDIF(G348,TODAY(),"Y")</f>
        <v>19</v>
      </c>
      <c r="J348" s="55" t="s">
        <v>283</v>
      </c>
      <c r="K348" s="56">
        <v>61150</v>
      </c>
      <c r="L348" s="57">
        <v>2</v>
      </c>
      <c r="M348" s="62">
        <f>ROUND(K348*P346+K348,0)</f>
        <v>61150</v>
      </c>
      <c r="N348" s="103"/>
      <c r="O348" s="48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</row>
    <row r="349" spans="1:34" s="87" customFormat="1" x14ac:dyDescent="0.25">
      <c r="A349" s="42" t="s">
        <v>438</v>
      </c>
      <c r="B349" s="49" t="s">
        <v>271</v>
      </c>
      <c r="C349" s="42" t="s">
        <v>417</v>
      </c>
      <c r="D349" s="105">
        <v>571821715</v>
      </c>
      <c r="E349" s="105">
        <v>2527102355</v>
      </c>
      <c r="F349" s="42" t="s">
        <v>256</v>
      </c>
      <c r="G349" s="84">
        <f>35059+(364+182)</f>
        <v>35605</v>
      </c>
      <c r="H349" s="53" t="str">
        <f>CHOOSE(MONTH(G349),"Jan","Feb","Mar","Apr","May","Jun","Jul","Aug","Sep","Oct","Nov","Dec")</f>
        <v>Jun</v>
      </c>
      <c r="I349" s="54">
        <f ca="1">DATEDIF(G349,TODAY(),"Y")</f>
        <v>19</v>
      </c>
      <c r="J349" s="55" t="s">
        <v>283</v>
      </c>
      <c r="K349" s="56">
        <v>56870</v>
      </c>
      <c r="L349" s="57">
        <v>1</v>
      </c>
      <c r="M349" s="62">
        <f>ROUND(K349*P347+K349,0)</f>
        <v>56870</v>
      </c>
      <c r="N349" s="103"/>
      <c r="O349" s="48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</row>
    <row r="350" spans="1:34" s="87" customFormat="1" x14ac:dyDescent="0.25">
      <c r="A350" s="42" t="s">
        <v>814</v>
      </c>
      <c r="B350" s="49" t="s">
        <v>285</v>
      </c>
      <c r="C350" s="42" t="s">
        <v>767</v>
      </c>
      <c r="D350" s="105">
        <v>475671127</v>
      </c>
      <c r="E350" s="105">
        <v>9196650531</v>
      </c>
      <c r="F350" s="42" t="s">
        <v>256</v>
      </c>
      <c r="G350" s="84">
        <f>35412+(364+182)</f>
        <v>35958</v>
      </c>
      <c r="H350" s="53" t="str">
        <f>CHOOSE(MONTH(G350),"Jan","Feb","Mar","Apr","May","Jun","Jul","Aug","Sep","Oct","Nov","Dec")</f>
        <v>Jun</v>
      </c>
      <c r="I350" s="54">
        <f ca="1">DATEDIF(G350,TODAY(),"Y")</f>
        <v>18</v>
      </c>
      <c r="J350" s="55" t="s">
        <v>283</v>
      </c>
      <c r="K350" s="56">
        <v>61420</v>
      </c>
      <c r="L350" s="57">
        <v>4</v>
      </c>
      <c r="M350" s="62">
        <f>ROUND(K350*P348+K350,0)</f>
        <v>61420</v>
      </c>
      <c r="N350" s="103"/>
      <c r="O350" s="48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</row>
    <row r="351" spans="1:34" s="87" customFormat="1" x14ac:dyDescent="0.25">
      <c r="A351" s="42" t="s">
        <v>407</v>
      </c>
      <c r="B351" s="49" t="s">
        <v>271</v>
      </c>
      <c r="C351" s="42" t="s">
        <v>391</v>
      </c>
      <c r="D351" s="105">
        <v>526188716</v>
      </c>
      <c r="E351" s="105">
        <v>2527230063</v>
      </c>
      <c r="F351" s="42" t="s">
        <v>247</v>
      </c>
      <c r="G351" s="84">
        <f>35413+(364+182)</f>
        <v>35959</v>
      </c>
      <c r="H351" s="53" t="str">
        <f>CHOOSE(MONTH(G351),"Jan","Feb","Mar","Apr","May","Jun","Jul","Aug","Sep","Oct","Nov","Dec")</f>
        <v>Jun</v>
      </c>
      <c r="I351" s="54">
        <f ca="1">DATEDIF(G351,TODAY(),"Y")</f>
        <v>18</v>
      </c>
      <c r="J351" s="55"/>
      <c r="K351" s="56">
        <v>64470</v>
      </c>
      <c r="L351" s="57">
        <v>3</v>
      </c>
      <c r="M351" s="62">
        <f>ROUND(K351*P349+K351,0)</f>
        <v>64470</v>
      </c>
      <c r="N351" s="103"/>
      <c r="O351" s="48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</row>
    <row r="352" spans="1:34" s="87" customFormat="1" x14ac:dyDescent="0.25">
      <c r="A352" s="42" t="s">
        <v>695</v>
      </c>
      <c r="B352" s="49" t="s">
        <v>271</v>
      </c>
      <c r="C352" s="42" t="s">
        <v>678</v>
      </c>
      <c r="D352" s="105">
        <v>122440839</v>
      </c>
      <c r="E352" s="105">
        <v>2526525807</v>
      </c>
      <c r="F352" s="42" t="s">
        <v>261</v>
      </c>
      <c r="G352" s="84">
        <f>35415+(364+182)</f>
        <v>35961</v>
      </c>
      <c r="H352" s="53" t="str">
        <f>CHOOSE(MONTH(G352),"Jan","Feb","Mar","Apr","May","Jun","Jul","Aug","Sep","Oct","Nov","Dec")</f>
        <v>Jun</v>
      </c>
      <c r="I352" s="54">
        <f ca="1">DATEDIF(G352,TODAY(),"Y")</f>
        <v>18</v>
      </c>
      <c r="J352" s="55" t="s">
        <v>257</v>
      </c>
      <c r="K352" s="56">
        <v>20500</v>
      </c>
      <c r="L352" s="57">
        <v>3</v>
      </c>
      <c r="M352" s="62">
        <f>ROUND(K352*P350+K352,0)</f>
        <v>20500</v>
      </c>
      <c r="N352" s="103"/>
      <c r="O352" s="48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</row>
    <row r="353" spans="1:34" s="87" customFormat="1" x14ac:dyDescent="0.25">
      <c r="A353" s="42" t="s">
        <v>328</v>
      </c>
      <c r="B353" s="49" t="s">
        <v>245</v>
      </c>
      <c r="C353" s="42" t="s">
        <v>312</v>
      </c>
      <c r="D353" s="105">
        <v>339398339</v>
      </c>
      <c r="E353" s="105">
        <v>2527682821</v>
      </c>
      <c r="F353" s="42" t="s">
        <v>256</v>
      </c>
      <c r="G353" s="84">
        <f>35419+(364+182)</f>
        <v>35965</v>
      </c>
      <c r="H353" s="53" t="str">
        <f>CHOOSE(MONTH(G353),"Jan","Feb","Mar","Apr","May","Jun","Jul","Aug","Sep","Oct","Nov","Dec")</f>
        <v>Jun</v>
      </c>
      <c r="I353" s="79">
        <f ca="1">DATEDIF(G353,TODAY(),"Y")</f>
        <v>18</v>
      </c>
      <c r="J353" s="80" t="s">
        <v>267</v>
      </c>
      <c r="K353" s="56">
        <v>34780</v>
      </c>
      <c r="L353" s="57">
        <v>4</v>
      </c>
      <c r="M353" s="62">
        <f>ROUND(K353*P351+K353,0)</f>
        <v>34780</v>
      </c>
      <c r="N353" s="103"/>
      <c r="O353" s="48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</row>
    <row r="354" spans="1:34" s="87" customFormat="1" x14ac:dyDescent="0.25">
      <c r="A354" s="42" t="s">
        <v>739</v>
      </c>
      <c r="B354" s="49" t="s">
        <v>271</v>
      </c>
      <c r="C354" s="42" t="s">
        <v>705</v>
      </c>
      <c r="D354" s="105">
        <v>839899522</v>
      </c>
      <c r="E354" s="105">
        <v>9195512521</v>
      </c>
      <c r="F354" s="42" t="s">
        <v>256</v>
      </c>
      <c r="G354" s="84">
        <f>35423+(364+182)</f>
        <v>35969</v>
      </c>
      <c r="H354" s="53" t="str">
        <f>CHOOSE(MONTH(G354),"Jan","Feb","Mar","Apr","May","Jun","Jul","Aug","Sep","Oct","Nov","Dec")</f>
        <v>Jun</v>
      </c>
      <c r="I354" s="54">
        <f ca="1">DATEDIF(G354,TODAY(),"Y")</f>
        <v>18</v>
      </c>
      <c r="J354" s="55" t="s">
        <v>257</v>
      </c>
      <c r="K354" s="56">
        <v>74530</v>
      </c>
      <c r="L354" s="57">
        <v>5</v>
      </c>
      <c r="M354" s="62">
        <f>ROUND(K354*P352+K354,0)</f>
        <v>74530</v>
      </c>
      <c r="N354" s="103"/>
      <c r="O354" s="48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</row>
    <row r="355" spans="1:34" s="87" customFormat="1" x14ac:dyDescent="0.25">
      <c r="A355" s="42" t="s">
        <v>478</v>
      </c>
      <c r="B355" s="49" t="s">
        <v>285</v>
      </c>
      <c r="C355" s="42" t="s">
        <v>465</v>
      </c>
      <c r="D355" s="105">
        <v>725801036</v>
      </c>
      <c r="E355" s="105">
        <v>9195089157</v>
      </c>
      <c r="F355" s="42" t="s">
        <v>247</v>
      </c>
      <c r="G355" s="84">
        <f>35426+(364+182)</f>
        <v>35972</v>
      </c>
      <c r="H355" s="53" t="str">
        <f>CHOOSE(MONTH(G355),"Jan","Feb","Mar","Apr","May","Jun","Jul","Aug","Sep","Oct","Nov","Dec")</f>
        <v>Jun</v>
      </c>
      <c r="I355" s="54">
        <f ca="1">DATEDIF(G355,TODAY(),"Y")</f>
        <v>18</v>
      </c>
      <c r="J355" s="55"/>
      <c r="K355" s="56">
        <v>71710</v>
      </c>
      <c r="L355" s="57">
        <v>5</v>
      </c>
      <c r="M355" s="62">
        <f>ROUND(K355*P353+K355,0)</f>
        <v>71710</v>
      </c>
      <c r="N355" s="103"/>
      <c r="O355" s="48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</row>
    <row r="356" spans="1:34" s="87" customFormat="1" x14ac:dyDescent="0.25">
      <c r="A356" s="42" t="s">
        <v>880</v>
      </c>
      <c r="B356" s="49" t="s">
        <v>285</v>
      </c>
      <c r="C356" s="42" t="s">
        <v>856</v>
      </c>
      <c r="D356" s="105">
        <v>708082156</v>
      </c>
      <c r="E356" s="105">
        <v>9194919822</v>
      </c>
      <c r="F356" s="42" t="s">
        <v>256</v>
      </c>
      <c r="G356" s="84">
        <f>35766+(364+182)</f>
        <v>36312</v>
      </c>
      <c r="H356" s="53" t="str">
        <f>CHOOSE(MONTH(G356),"Jan","Feb","Mar","Apr","May","Jun","Jul","Aug","Sep","Oct","Nov","Dec")</f>
        <v>Jun</v>
      </c>
      <c r="I356" s="54">
        <f ca="1">DATEDIF(G356,TODAY(),"Y")</f>
        <v>17</v>
      </c>
      <c r="J356" s="55" t="s">
        <v>257</v>
      </c>
      <c r="K356" s="56">
        <v>69200</v>
      </c>
      <c r="L356" s="57">
        <v>4</v>
      </c>
      <c r="M356" s="62">
        <f>ROUND(K356*P354+K356,0)</f>
        <v>69200</v>
      </c>
      <c r="N356" s="103"/>
      <c r="O356" s="48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</row>
    <row r="357" spans="1:34" s="87" customFormat="1" x14ac:dyDescent="0.25">
      <c r="A357" s="42" t="s">
        <v>603</v>
      </c>
      <c r="B357" s="49" t="s">
        <v>285</v>
      </c>
      <c r="C357" s="42" t="s">
        <v>465</v>
      </c>
      <c r="D357" s="105">
        <v>475517002</v>
      </c>
      <c r="E357" s="105">
        <v>2523909820</v>
      </c>
      <c r="F357" s="42" t="s">
        <v>256</v>
      </c>
      <c r="G357" s="84">
        <f>35772+(364+182)</f>
        <v>36318</v>
      </c>
      <c r="H357" s="53" t="str">
        <f>CHOOSE(MONTH(G357),"Jan","Feb","Mar","Apr","May","Jun","Jul","Aug","Sep","Oct","Nov","Dec")</f>
        <v>Jun</v>
      </c>
      <c r="I357" s="54">
        <f ca="1">DATEDIF(G357,TODAY(),"Y")</f>
        <v>17</v>
      </c>
      <c r="J357" s="55" t="s">
        <v>283</v>
      </c>
      <c r="K357" s="56">
        <v>68750</v>
      </c>
      <c r="L357" s="57">
        <v>1</v>
      </c>
      <c r="M357" s="62">
        <f>ROUND(K357*P355+K357,0)</f>
        <v>68750</v>
      </c>
      <c r="N357" s="103"/>
      <c r="O357" s="48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</row>
    <row r="358" spans="1:34" s="87" customFormat="1" x14ac:dyDescent="0.25">
      <c r="A358" s="42" t="s">
        <v>712</v>
      </c>
      <c r="B358" s="49" t="s">
        <v>271</v>
      </c>
      <c r="C358" s="42" t="s">
        <v>705</v>
      </c>
      <c r="D358" s="105">
        <v>948252103</v>
      </c>
      <c r="E358" s="105">
        <v>9197430732</v>
      </c>
      <c r="F358" s="42" t="s">
        <v>252</v>
      </c>
      <c r="G358" s="84">
        <f>35783+(364+182)</f>
        <v>36329</v>
      </c>
      <c r="H358" s="53" t="str">
        <f>CHOOSE(MONTH(G358),"Jan","Feb","Mar","Apr","May","Jun","Jul","Aug","Sep","Oct","Nov","Dec")</f>
        <v>Jun</v>
      </c>
      <c r="I358" s="54">
        <f ca="1">DATEDIF(G358,TODAY(),"Y")</f>
        <v>17</v>
      </c>
      <c r="J358" s="55"/>
      <c r="K358" s="56">
        <v>39764</v>
      </c>
      <c r="L358" s="57">
        <v>1</v>
      </c>
      <c r="M358" s="62">
        <f>ROUND(K358*P356+K358,0)</f>
        <v>39764</v>
      </c>
      <c r="N358" s="103"/>
      <c r="O358" s="48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</row>
    <row r="359" spans="1:34" s="87" customFormat="1" x14ac:dyDescent="0.25">
      <c r="A359" s="42" t="s">
        <v>1010</v>
      </c>
      <c r="B359" s="49" t="s">
        <v>271</v>
      </c>
      <c r="C359" s="42" t="s">
        <v>930</v>
      </c>
      <c r="D359" s="105">
        <v>876082195</v>
      </c>
      <c r="E359" s="105">
        <v>2526049607</v>
      </c>
      <c r="F359" s="42" t="s">
        <v>256</v>
      </c>
      <c r="G359" s="84">
        <f>35784+(364+182)</f>
        <v>36330</v>
      </c>
      <c r="H359" s="53" t="str">
        <f>CHOOSE(MONTH(G359),"Jan","Feb","Mar","Apr","May","Jun","Jul","Aug","Sep","Oct","Nov","Dec")</f>
        <v>Jun</v>
      </c>
      <c r="I359" s="54">
        <f ca="1">DATEDIF(G359,TODAY(),"Y")</f>
        <v>17</v>
      </c>
      <c r="J359" s="55" t="s">
        <v>276</v>
      </c>
      <c r="K359" s="56">
        <v>61850</v>
      </c>
      <c r="L359" s="57">
        <v>2</v>
      </c>
      <c r="M359" s="62">
        <f>ROUND(K359*P357+K359,0)</f>
        <v>61850</v>
      </c>
      <c r="N359" s="103"/>
      <c r="O359" s="48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</row>
    <row r="360" spans="1:34" s="87" customFormat="1" x14ac:dyDescent="0.25">
      <c r="A360" s="42" t="s">
        <v>468</v>
      </c>
      <c r="B360" s="49" t="s">
        <v>285</v>
      </c>
      <c r="C360" s="42" t="s">
        <v>465</v>
      </c>
      <c r="D360" s="105">
        <v>319449613</v>
      </c>
      <c r="E360" s="105">
        <v>2523454032</v>
      </c>
      <c r="F360" s="42" t="s">
        <v>256</v>
      </c>
      <c r="G360" s="84">
        <f>35786+(364+182)</f>
        <v>36332</v>
      </c>
      <c r="H360" s="53" t="str">
        <f>CHOOSE(MONTH(G360),"Jan","Feb","Mar","Apr","May","Jun","Jul","Aug","Sep","Oct","Nov","Dec")</f>
        <v>Jun</v>
      </c>
      <c r="I360" s="54">
        <f ca="1">DATEDIF(G360,TODAY(),"Y")</f>
        <v>17</v>
      </c>
      <c r="J360" s="55" t="s">
        <v>267</v>
      </c>
      <c r="K360" s="56">
        <v>37760</v>
      </c>
      <c r="L360" s="57">
        <v>2</v>
      </c>
      <c r="M360" s="62">
        <f>ROUND(K360*P358+K360,0)</f>
        <v>37760</v>
      </c>
      <c r="N360" s="103"/>
      <c r="O360" s="48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</row>
    <row r="361" spans="1:34" s="87" customFormat="1" x14ac:dyDescent="0.25">
      <c r="A361" s="42" t="s">
        <v>820</v>
      </c>
      <c r="B361" s="49" t="s">
        <v>285</v>
      </c>
      <c r="C361" s="42" t="s">
        <v>767</v>
      </c>
      <c r="D361" s="105">
        <v>552528553</v>
      </c>
      <c r="E361" s="105">
        <v>9194310812</v>
      </c>
      <c r="F361" s="42" t="s">
        <v>252</v>
      </c>
      <c r="G361" s="84">
        <f>35794+(364+182)</f>
        <v>36340</v>
      </c>
      <c r="H361" s="53" t="str">
        <f>CHOOSE(MONTH(G361),"Jan","Feb","Mar","Apr","May","Jun","Jul","Aug","Sep","Oct","Nov","Dec")</f>
        <v>Jun</v>
      </c>
      <c r="I361" s="54">
        <f ca="1">DATEDIF(G361,TODAY(),"Y")</f>
        <v>17</v>
      </c>
      <c r="J361" s="55"/>
      <c r="K361" s="56">
        <v>37016</v>
      </c>
      <c r="L361" s="57">
        <v>4</v>
      </c>
      <c r="M361" s="62">
        <f>ROUND(K361*P359+K361,0)</f>
        <v>37016</v>
      </c>
      <c r="N361" s="103"/>
      <c r="O361" s="48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</row>
    <row r="362" spans="1:34" s="87" customFormat="1" x14ac:dyDescent="0.25">
      <c r="A362" s="42" t="s">
        <v>731</v>
      </c>
      <c r="B362" s="49" t="s">
        <v>285</v>
      </c>
      <c r="C362" s="42" t="s">
        <v>705</v>
      </c>
      <c r="D362" s="105">
        <v>489013842</v>
      </c>
      <c r="E362" s="105">
        <v>2521658481</v>
      </c>
      <c r="F362" s="42" t="s">
        <v>261</v>
      </c>
      <c r="G362" s="84">
        <f>36149+(364+182)</f>
        <v>36695</v>
      </c>
      <c r="H362" s="53" t="str">
        <f>CHOOSE(MONTH(G362),"Jan","Feb","Mar","Apr","May","Jun","Jul","Aug","Sep","Oct","Nov","Dec")</f>
        <v>Jun</v>
      </c>
      <c r="I362" s="54">
        <f ca="1">DATEDIF(G362,TODAY(),"Y")</f>
        <v>16</v>
      </c>
      <c r="J362" s="55" t="s">
        <v>283</v>
      </c>
      <c r="K362" s="56">
        <v>29005</v>
      </c>
      <c r="L362" s="57">
        <v>1</v>
      </c>
      <c r="M362" s="62">
        <f>ROUND(K362*P360+K362,0)</f>
        <v>29005</v>
      </c>
      <c r="N362" s="103"/>
      <c r="O362" s="48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</row>
    <row r="363" spans="1:34" s="87" customFormat="1" x14ac:dyDescent="0.25">
      <c r="A363" s="42" t="s">
        <v>535</v>
      </c>
      <c r="B363" s="49" t="s">
        <v>245</v>
      </c>
      <c r="C363" s="42" t="s">
        <v>465</v>
      </c>
      <c r="D363" s="105">
        <v>353414196</v>
      </c>
      <c r="E363" s="105">
        <v>2528159919</v>
      </c>
      <c r="F363" s="42" t="s">
        <v>256</v>
      </c>
      <c r="G363" s="84">
        <f>36152+(364+182)</f>
        <v>36698</v>
      </c>
      <c r="H363" s="53" t="str">
        <f>CHOOSE(MONTH(G363),"Jan","Feb","Mar","Apr","May","Jun","Jul","Aug","Sep","Oct","Nov","Dec")</f>
        <v>Jun</v>
      </c>
      <c r="I363" s="54">
        <f ca="1">DATEDIF(G363,TODAY(),"Y")</f>
        <v>16</v>
      </c>
      <c r="J363" s="55" t="s">
        <v>267</v>
      </c>
      <c r="K363" s="56">
        <v>23650</v>
      </c>
      <c r="L363" s="57">
        <v>1</v>
      </c>
      <c r="M363" s="62">
        <f>ROUND(K363*P361+K363,0)</f>
        <v>23650</v>
      </c>
      <c r="N363" s="103"/>
      <c r="O363" s="48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</row>
    <row r="364" spans="1:34" s="87" customFormat="1" x14ac:dyDescent="0.25">
      <c r="A364" s="42" t="s">
        <v>658</v>
      </c>
      <c r="B364" s="49" t="s">
        <v>285</v>
      </c>
      <c r="C364" s="42" t="s">
        <v>626</v>
      </c>
      <c r="D364" s="105">
        <v>157257652</v>
      </c>
      <c r="E364" s="105">
        <v>9193262077</v>
      </c>
      <c r="F364" s="42" t="s">
        <v>247</v>
      </c>
      <c r="G364" s="84">
        <f>36157+(364+182)</f>
        <v>36703</v>
      </c>
      <c r="H364" s="53" t="str">
        <f>CHOOSE(MONTH(G364),"Jan","Feb","Mar","Apr","May","Jun","Jul","Aug","Sep","Oct","Nov","Dec")</f>
        <v>Jun</v>
      </c>
      <c r="I364" s="54">
        <f ca="1">DATEDIF(G364,TODAY(),"Y")</f>
        <v>16</v>
      </c>
      <c r="J364" s="55"/>
      <c r="K364" s="56">
        <v>50200</v>
      </c>
      <c r="L364" s="57">
        <v>4</v>
      </c>
      <c r="M364" s="62">
        <f>ROUND(K364*P362+K364,0)</f>
        <v>50200</v>
      </c>
      <c r="N364" s="103"/>
      <c r="O364" s="48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</row>
    <row r="365" spans="1:34" s="87" customFormat="1" x14ac:dyDescent="0.25">
      <c r="A365" s="42" t="s">
        <v>483</v>
      </c>
      <c r="B365" s="49" t="s">
        <v>280</v>
      </c>
      <c r="C365" s="42" t="s">
        <v>465</v>
      </c>
      <c r="D365" s="105">
        <v>826450563</v>
      </c>
      <c r="E365" s="105">
        <v>9196607355</v>
      </c>
      <c r="F365" s="42" t="s">
        <v>247</v>
      </c>
      <c r="G365" s="84">
        <f>36158+(364+182)</f>
        <v>36704</v>
      </c>
      <c r="H365" s="53" t="str">
        <f>CHOOSE(MONTH(G365),"Jan","Feb","Mar","Apr","May","Jun","Jul","Aug","Sep","Oct","Nov","Dec")</f>
        <v>Jun</v>
      </c>
      <c r="I365" s="54">
        <f ca="1">DATEDIF(G365,TODAY(),"Y")</f>
        <v>16</v>
      </c>
      <c r="J365" s="55"/>
      <c r="K365" s="56">
        <v>57760</v>
      </c>
      <c r="L365" s="57">
        <v>3</v>
      </c>
      <c r="M365" s="62">
        <f>ROUND(K365*P363+K365,0)</f>
        <v>57760</v>
      </c>
      <c r="N365" s="103"/>
      <c r="O365" s="48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</row>
    <row r="366" spans="1:34" s="87" customFormat="1" x14ac:dyDescent="0.25">
      <c r="A366" s="42" t="s">
        <v>613</v>
      </c>
      <c r="B366" s="49" t="s">
        <v>285</v>
      </c>
      <c r="C366" s="42" t="s">
        <v>465</v>
      </c>
      <c r="D366" s="105">
        <v>589649495</v>
      </c>
      <c r="E366" s="105">
        <v>2524248455</v>
      </c>
      <c r="F366" s="42" t="s">
        <v>256</v>
      </c>
      <c r="G366" s="84">
        <f>36161+(364+182)</f>
        <v>36707</v>
      </c>
      <c r="H366" s="53" t="str">
        <f>CHOOSE(MONTH(G366),"Jan","Feb","Mar","Apr","May","Jun","Jul","Aug","Sep","Oct","Nov","Dec")</f>
        <v>Jun</v>
      </c>
      <c r="I366" s="54">
        <f ca="1">DATEDIF(G366,TODAY(),"Y")</f>
        <v>16</v>
      </c>
      <c r="J366" s="55" t="s">
        <v>276</v>
      </c>
      <c r="K366" s="56">
        <v>38870</v>
      </c>
      <c r="L366" s="57">
        <v>2</v>
      </c>
      <c r="M366" s="62">
        <f>ROUND(K366*P364+K366,0)</f>
        <v>38870</v>
      </c>
      <c r="N366" s="103"/>
      <c r="O366" s="48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</row>
    <row r="367" spans="1:34" s="87" customFormat="1" x14ac:dyDescent="0.25">
      <c r="A367" s="42" t="s">
        <v>460</v>
      </c>
      <c r="B367" s="49" t="s">
        <v>280</v>
      </c>
      <c r="C367" s="42" t="s">
        <v>456</v>
      </c>
      <c r="D367" s="105">
        <v>477110649</v>
      </c>
      <c r="E367" s="105">
        <v>9191351512</v>
      </c>
      <c r="F367" s="42" t="s">
        <v>256</v>
      </c>
      <c r="G367" s="84">
        <f>36497+(364+182)</f>
        <v>37043</v>
      </c>
      <c r="H367" s="53" t="str">
        <f>CHOOSE(MONTH(G367),"Jan","Feb","Mar","Apr","May","Jun","Jul","Aug","Sep","Oct","Nov","Dec")</f>
        <v>Jun</v>
      </c>
      <c r="I367" s="54">
        <f ca="1">DATEDIF(G367,TODAY(),"Y")</f>
        <v>15</v>
      </c>
      <c r="J367" s="55" t="s">
        <v>262</v>
      </c>
      <c r="K367" s="56">
        <v>45150</v>
      </c>
      <c r="L367" s="57">
        <v>1</v>
      </c>
      <c r="M367" s="62">
        <f>ROUND(K367*P365+K367,0)</f>
        <v>45150</v>
      </c>
      <c r="N367" s="103"/>
      <c r="O367" s="48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</row>
    <row r="368" spans="1:34" s="87" customFormat="1" x14ac:dyDescent="0.25">
      <c r="A368" s="42" t="s">
        <v>972</v>
      </c>
      <c r="B368" s="49" t="s">
        <v>266</v>
      </c>
      <c r="C368" s="42" t="s">
        <v>930</v>
      </c>
      <c r="D368" s="105">
        <v>592709648</v>
      </c>
      <c r="E368" s="105">
        <v>9191797370</v>
      </c>
      <c r="F368" s="42" t="s">
        <v>247</v>
      </c>
      <c r="G368" s="84">
        <f>36519+(364+182)</f>
        <v>37065</v>
      </c>
      <c r="H368" s="53" t="str">
        <f>CHOOSE(MONTH(G368),"Jan","Feb","Mar","Apr","May","Jun","Jul","Aug","Sep","Oct","Nov","Dec")</f>
        <v>Jun</v>
      </c>
      <c r="I368" s="54">
        <f ca="1">DATEDIF(G368,TODAY(),"Y")</f>
        <v>15</v>
      </c>
      <c r="J368" s="55"/>
      <c r="K368" s="56">
        <v>77136</v>
      </c>
      <c r="L368" s="57">
        <v>5</v>
      </c>
      <c r="M368" s="62">
        <f>ROUND(K368*P366+K368,0)</f>
        <v>77136</v>
      </c>
      <c r="N368" s="103"/>
      <c r="O368" s="48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</row>
    <row r="369" spans="1:34" s="87" customFormat="1" x14ac:dyDescent="0.25">
      <c r="A369" s="42" t="s">
        <v>470</v>
      </c>
      <c r="B369" s="49" t="s">
        <v>285</v>
      </c>
      <c r="C369" s="42" t="s">
        <v>465</v>
      </c>
      <c r="D369" s="105">
        <v>894030119</v>
      </c>
      <c r="E369" s="105">
        <v>2528652588</v>
      </c>
      <c r="F369" s="42" t="s">
        <v>256</v>
      </c>
      <c r="G369" s="84">
        <f>36522+(364+182)</f>
        <v>37068</v>
      </c>
      <c r="H369" s="53" t="str">
        <f>CHOOSE(MONTH(G369),"Jan","Feb","Mar","Apr","May","Jun","Jul","Aug","Sep","Oct","Nov","Dec")</f>
        <v>Jun</v>
      </c>
      <c r="I369" s="54">
        <f ca="1">DATEDIF(G369,TODAY(),"Y")</f>
        <v>15</v>
      </c>
      <c r="J369" s="55" t="s">
        <v>262</v>
      </c>
      <c r="K369" s="56">
        <v>66010</v>
      </c>
      <c r="L369" s="57">
        <v>5</v>
      </c>
      <c r="M369" s="62">
        <f>ROUND(K369*P367+K369,0)</f>
        <v>66010</v>
      </c>
      <c r="N369" s="103"/>
      <c r="O369" s="48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</row>
    <row r="370" spans="1:34" x14ac:dyDescent="0.25">
      <c r="A370" s="42" t="s">
        <v>541</v>
      </c>
      <c r="B370" s="49" t="s">
        <v>271</v>
      </c>
      <c r="C370" s="42" t="s">
        <v>465</v>
      </c>
      <c r="D370" s="105">
        <v>512405919</v>
      </c>
      <c r="E370" s="105">
        <v>9195858234</v>
      </c>
      <c r="F370" s="42" t="s">
        <v>256</v>
      </c>
      <c r="G370" s="84">
        <f>36890+(364+182)</f>
        <v>37436</v>
      </c>
      <c r="H370" s="53" t="str">
        <f>CHOOSE(MONTH(G370),"Jan","Feb","Mar","Apr","May","Jun","Jul","Aug","Sep","Oct","Nov","Dec")</f>
        <v>Jun</v>
      </c>
      <c r="I370" s="54">
        <f ca="1">DATEDIF(G370,TODAY(),"Y")</f>
        <v>14</v>
      </c>
      <c r="J370" s="55" t="s">
        <v>267</v>
      </c>
      <c r="K370" s="56">
        <v>64130</v>
      </c>
      <c r="L370" s="57">
        <v>1</v>
      </c>
      <c r="M370" s="62">
        <f>ROUND(K370*P368+K370,0)</f>
        <v>64130</v>
      </c>
    </row>
    <row r="371" spans="1:34" x14ac:dyDescent="0.25">
      <c r="A371" s="42" t="s">
        <v>914</v>
      </c>
      <c r="B371" s="49" t="s">
        <v>245</v>
      </c>
      <c r="C371" s="42" t="s">
        <v>856</v>
      </c>
      <c r="D371" s="105">
        <v>357568979</v>
      </c>
      <c r="E371" s="105">
        <v>2524316324</v>
      </c>
      <c r="F371" s="42" t="s">
        <v>261</v>
      </c>
      <c r="G371" s="84">
        <f>37229+(364+182)</f>
        <v>37775</v>
      </c>
      <c r="H371" s="53" t="str">
        <f>CHOOSE(MONTH(G371),"Jan","Feb","Mar","Apr","May","Jun","Jul","Aug","Sep","Oct","Nov","Dec")</f>
        <v>Jun</v>
      </c>
      <c r="I371" s="54">
        <f ca="1">DATEDIF(G371,TODAY(),"Y")</f>
        <v>13</v>
      </c>
      <c r="J371" s="55" t="s">
        <v>262</v>
      </c>
      <c r="K371" s="56">
        <v>28525</v>
      </c>
      <c r="L371" s="57">
        <v>4</v>
      </c>
      <c r="M371" s="62">
        <f>ROUND(K371*P369+K371,0)</f>
        <v>28525</v>
      </c>
    </row>
    <row r="372" spans="1:34" x14ac:dyDescent="0.25">
      <c r="A372" s="42" t="s">
        <v>288</v>
      </c>
      <c r="B372" s="49" t="s">
        <v>271</v>
      </c>
      <c r="C372" s="42" t="s">
        <v>272</v>
      </c>
      <c r="D372" s="105">
        <v>781913936</v>
      </c>
      <c r="E372" s="105">
        <v>9197889149</v>
      </c>
      <c r="F372" s="42" t="s">
        <v>261</v>
      </c>
      <c r="G372" s="84">
        <f>37236+(364+182)</f>
        <v>37782</v>
      </c>
      <c r="H372" s="53" t="str">
        <f>CHOOSE(MONTH(G372),"Jan","Feb","Mar","Apr","May","Jun","Jul","Aug","Sep","Oct","Nov","Dec")</f>
        <v>Jun</v>
      </c>
      <c r="I372" s="54">
        <f ca="1">DATEDIF(G372,TODAY(),"Y")</f>
        <v>13</v>
      </c>
      <c r="J372" s="55" t="s">
        <v>276</v>
      </c>
      <c r="K372" s="56">
        <v>17735</v>
      </c>
      <c r="L372" s="57">
        <v>3</v>
      </c>
      <c r="M372" s="62">
        <f>ROUND(K372*P370+K372,0)</f>
        <v>17735</v>
      </c>
    </row>
    <row r="373" spans="1:34" x14ac:dyDescent="0.25">
      <c r="A373" s="42" t="s">
        <v>331</v>
      </c>
      <c r="B373" s="49" t="s">
        <v>285</v>
      </c>
      <c r="C373" s="42" t="s">
        <v>312</v>
      </c>
      <c r="D373" s="105">
        <v>252276921</v>
      </c>
      <c r="E373" s="105">
        <v>2525777345</v>
      </c>
      <c r="F373" s="42" t="s">
        <v>256</v>
      </c>
      <c r="G373" s="84">
        <f>37239+(364+182)</f>
        <v>37785</v>
      </c>
      <c r="H373" s="53" t="str">
        <f>CHOOSE(MONTH(G373),"Jan","Feb","Mar","Apr","May","Jun","Jul","Aug","Sep","Oct","Nov","Dec")</f>
        <v>Jun</v>
      </c>
      <c r="I373" s="54">
        <f ca="1">DATEDIF(G373,TODAY(),"Y")</f>
        <v>13</v>
      </c>
      <c r="J373" s="55" t="s">
        <v>283</v>
      </c>
      <c r="K373" s="56">
        <v>87280</v>
      </c>
      <c r="L373" s="57">
        <v>4</v>
      </c>
      <c r="M373" s="62">
        <f>ROUND(K373*P371+K373,0)</f>
        <v>87280</v>
      </c>
    </row>
    <row r="374" spans="1:34" x14ac:dyDescent="0.25">
      <c r="A374" s="42" t="s">
        <v>906</v>
      </c>
      <c r="B374" s="49" t="s">
        <v>280</v>
      </c>
      <c r="C374" s="42" t="s">
        <v>856</v>
      </c>
      <c r="D374" s="105">
        <v>531654742</v>
      </c>
      <c r="E374" s="105">
        <v>9195770085</v>
      </c>
      <c r="F374" s="42" t="s">
        <v>256</v>
      </c>
      <c r="G374" s="84">
        <f>37247+(364+182)</f>
        <v>37793</v>
      </c>
      <c r="H374" s="53" t="str">
        <f>CHOOSE(MONTH(G374),"Jan","Feb","Mar","Apr","May","Jun","Jul","Aug","Sep","Oct","Nov","Dec")</f>
        <v>Jun</v>
      </c>
      <c r="I374" s="54">
        <f ca="1">DATEDIF(G374,TODAY(),"Y")</f>
        <v>13</v>
      </c>
      <c r="J374" s="55" t="s">
        <v>257</v>
      </c>
      <c r="K374" s="56">
        <v>29210</v>
      </c>
      <c r="L374" s="57">
        <v>5</v>
      </c>
      <c r="M374" s="62">
        <f>ROUND(K374*P372+K374,0)</f>
        <v>29210</v>
      </c>
    </row>
    <row r="375" spans="1:34" x14ac:dyDescent="0.25">
      <c r="A375" s="48" t="s">
        <v>277</v>
      </c>
      <c r="B375" s="49" t="s">
        <v>271</v>
      </c>
      <c r="C375" s="48" t="s">
        <v>272</v>
      </c>
      <c r="D375" s="109">
        <v>638271383</v>
      </c>
      <c r="E375" s="109">
        <v>2521641031</v>
      </c>
      <c r="F375" s="48" t="s">
        <v>256</v>
      </c>
      <c r="G375" s="108">
        <f>37596+(364+182)</f>
        <v>38142</v>
      </c>
      <c r="H375" s="53" t="str">
        <f>CHOOSE(MONTH(G375),"Jan","Feb","Mar","Apr","May","Jun","Jul","Aug","Sep","Oct","Nov","Dec")</f>
        <v>Jun</v>
      </c>
      <c r="I375" s="54">
        <f ca="1">DATEDIF(G375,TODAY(),"Y")</f>
        <v>12</v>
      </c>
      <c r="J375" s="55" t="s">
        <v>257</v>
      </c>
      <c r="K375" s="56">
        <v>49350</v>
      </c>
      <c r="L375" s="57">
        <v>4</v>
      </c>
      <c r="M375" s="62">
        <f>ROUND(K375*P373+K375,0)</f>
        <v>49350</v>
      </c>
      <c r="O375" s="107"/>
    </row>
    <row r="376" spans="1:34" x14ac:dyDescent="0.25">
      <c r="A376" s="42" t="s">
        <v>738</v>
      </c>
      <c r="B376" s="49" t="s">
        <v>285</v>
      </c>
      <c r="C376" s="42" t="s">
        <v>705</v>
      </c>
      <c r="D376" s="105">
        <v>842774592</v>
      </c>
      <c r="E376" s="105">
        <v>2527345539</v>
      </c>
      <c r="F376" s="42" t="s">
        <v>252</v>
      </c>
      <c r="G376" s="84">
        <f>37598+(364+182)</f>
        <v>38144</v>
      </c>
      <c r="H376" s="53" t="str">
        <f>CHOOSE(MONTH(G376),"Jan","Feb","Mar","Apr","May","Jun","Jul","Aug","Sep","Oct","Nov","Dec")</f>
        <v>Jun</v>
      </c>
      <c r="I376" s="54">
        <f ca="1">DATEDIF(G376,TODAY(),"Y")</f>
        <v>12</v>
      </c>
      <c r="J376" s="55"/>
      <c r="K376" s="56">
        <v>33512</v>
      </c>
      <c r="L376" s="57">
        <v>4</v>
      </c>
      <c r="M376" s="62">
        <f>ROUND(K376*P374+K376,0)</f>
        <v>33512</v>
      </c>
    </row>
    <row r="377" spans="1:34" x14ac:dyDescent="0.25">
      <c r="A377" s="42" t="s">
        <v>607</v>
      </c>
      <c r="B377" s="49" t="s">
        <v>245</v>
      </c>
      <c r="C377" s="42" t="s">
        <v>465</v>
      </c>
      <c r="D377" s="105">
        <v>684054281</v>
      </c>
      <c r="E377" s="105">
        <v>2522888726</v>
      </c>
      <c r="F377" s="42" t="s">
        <v>256</v>
      </c>
      <c r="G377" s="84">
        <f>37600+(364+182)</f>
        <v>38146</v>
      </c>
      <c r="H377" s="53" t="str">
        <f>CHOOSE(MONTH(G377),"Jan","Feb","Mar","Apr","May","Jun","Jul","Aug","Sep","Oct","Nov","Dec")</f>
        <v>Jun</v>
      </c>
      <c r="I377" s="54">
        <f ca="1">DATEDIF(G377,TODAY(),"Y")</f>
        <v>12</v>
      </c>
      <c r="J377" s="55" t="s">
        <v>257</v>
      </c>
      <c r="K377" s="56">
        <v>47340</v>
      </c>
      <c r="L377" s="57">
        <v>2</v>
      </c>
      <c r="M377" s="62">
        <f>ROUND(K377*P375+K377,0)</f>
        <v>47340</v>
      </c>
    </row>
    <row r="378" spans="1:34" x14ac:dyDescent="0.25">
      <c r="A378" s="42" t="s">
        <v>591</v>
      </c>
      <c r="B378" s="49" t="s">
        <v>285</v>
      </c>
      <c r="C378" s="42" t="s">
        <v>465</v>
      </c>
      <c r="D378" s="105">
        <v>412611335</v>
      </c>
      <c r="E378" s="105">
        <v>2525998691</v>
      </c>
      <c r="F378" s="42" t="s">
        <v>247</v>
      </c>
      <c r="G378" s="84">
        <f>37961+(364+182)</f>
        <v>38507</v>
      </c>
      <c r="H378" s="53" t="str">
        <f>CHOOSE(MONTH(G378),"Jan","Feb","Mar","Apr","May","Jun","Jul","Aug","Sep","Oct","Nov","Dec")</f>
        <v>Jun</v>
      </c>
      <c r="I378" s="54">
        <f ca="1">DATEDIF(G378,TODAY(),"Y")</f>
        <v>11</v>
      </c>
      <c r="J378" s="55"/>
      <c r="K378" s="56">
        <v>40940</v>
      </c>
      <c r="L378" s="57">
        <v>2</v>
      </c>
      <c r="M378" s="62">
        <f>ROUND(K378*P376+K378,0)</f>
        <v>40940</v>
      </c>
    </row>
    <row r="379" spans="1:34" x14ac:dyDescent="0.25">
      <c r="A379" s="42" t="s">
        <v>412</v>
      </c>
      <c r="B379" s="49" t="s">
        <v>285</v>
      </c>
      <c r="C379" s="42" t="s">
        <v>411</v>
      </c>
      <c r="D379" s="105">
        <v>699053064</v>
      </c>
      <c r="E379" s="105">
        <v>9191299076</v>
      </c>
      <c r="F379" s="42" t="s">
        <v>247</v>
      </c>
      <c r="G379" s="84">
        <f>37981+(364+182)</f>
        <v>38527</v>
      </c>
      <c r="H379" s="53" t="str">
        <f>CHOOSE(MONTH(G379),"Jan","Feb","Mar","Apr","May","Jun","Jul","Aug","Sep","Oct","Nov","Dec")</f>
        <v>Jun</v>
      </c>
      <c r="I379" s="54">
        <f ca="1">DATEDIF(G379,TODAY(),"Y")</f>
        <v>11</v>
      </c>
      <c r="J379" s="55"/>
      <c r="K379" s="56">
        <v>60060</v>
      </c>
      <c r="L379" s="57">
        <v>2</v>
      </c>
      <c r="M379" s="62">
        <f>ROUND(K379*P377+K379,0)</f>
        <v>60060</v>
      </c>
    </row>
    <row r="380" spans="1:34" x14ac:dyDescent="0.25">
      <c r="A380" s="42" t="s">
        <v>532</v>
      </c>
      <c r="B380" s="49" t="s">
        <v>280</v>
      </c>
      <c r="C380" s="42" t="s">
        <v>465</v>
      </c>
      <c r="D380" s="105">
        <v>725737456</v>
      </c>
      <c r="E380" s="105">
        <v>9191847141</v>
      </c>
      <c r="F380" s="42" t="s">
        <v>247</v>
      </c>
      <c r="G380" s="84">
        <f>38328+(364+182)</f>
        <v>38874</v>
      </c>
      <c r="H380" s="53" t="str">
        <f>CHOOSE(MONTH(G380),"Jan","Feb","Mar","Apr","May","Jun","Jul","Aug","Sep","Oct","Nov","Dec")</f>
        <v>Jun</v>
      </c>
      <c r="I380" s="54">
        <f ca="1">DATEDIF(G380,TODAY(),"Y")</f>
        <v>10</v>
      </c>
      <c r="J380" s="55"/>
      <c r="K380" s="56">
        <v>59330</v>
      </c>
      <c r="L380" s="57">
        <v>4</v>
      </c>
      <c r="M380" s="62">
        <f>ROUND(K380*P378+K380,0)</f>
        <v>59330</v>
      </c>
    </row>
    <row r="381" spans="1:34" x14ac:dyDescent="0.25">
      <c r="A381" s="42" t="s">
        <v>951</v>
      </c>
      <c r="B381" s="49" t="s">
        <v>245</v>
      </c>
      <c r="C381" s="42" t="s">
        <v>930</v>
      </c>
      <c r="D381" s="105">
        <v>210491464</v>
      </c>
      <c r="E381" s="105">
        <v>9198405552</v>
      </c>
      <c r="F381" s="42" t="s">
        <v>256</v>
      </c>
      <c r="G381" s="84">
        <f>39056+(364+182)</f>
        <v>39602</v>
      </c>
      <c r="H381" s="53" t="str">
        <f>CHOOSE(MONTH(G381),"Jan","Feb","Mar","Apr","May","Jun","Jul","Aug","Sep","Oct","Nov","Dec")</f>
        <v>Jun</v>
      </c>
      <c r="I381" s="54">
        <f ca="1">DATEDIF(G381,TODAY(),"Y")</f>
        <v>8</v>
      </c>
      <c r="J381" s="55" t="s">
        <v>257</v>
      </c>
      <c r="K381" s="56">
        <v>79380</v>
      </c>
      <c r="L381" s="57">
        <v>5</v>
      </c>
      <c r="M381" s="62">
        <f>ROUND(K381*P379+K381,0)</f>
        <v>79380</v>
      </c>
    </row>
    <row r="382" spans="1:34" x14ac:dyDescent="0.25">
      <c r="A382" s="42" t="s">
        <v>576</v>
      </c>
      <c r="B382" s="49" t="s">
        <v>280</v>
      </c>
      <c r="C382" s="42" t="s">
        <v>465</v>
      </c>
      <c r="D382" s="105">
        <v>180095803</v>
      </c>
      <c r="E382" s="105">
        <v>2526503334</v>
      </c>
      <c r="F382" s="42" t="s">
        <v>256</v>
      </c>
      <c r="G382" s="84">
        <f>39426+(364+182)</f>
        <v>39972</v>
      </c>
      <c r="H382" s="53" t="str">
        <f>CHOOSE(MONTH(G382),"Jan","Feb","Mar","Apr","May","Jun","Jul","Aug","Sep","Oct","Nov","Dec")</f>
        <v>Jun</v>
      </c>
      <c r="I382" s="54">
        <f ca="1">DATEDIF(G382,TODAY(),"Y")</f>
        <v>7</v>
      </c>
      <c r="J382" s="55" t="s">
        <v>257</v>
      </c>
      <c r="K382" s="56">
        <v>78170</v>
      </c>
      <c r="L382" s="57">
        <v>5</v>
      </c>
      <c r="M382" s="62">
        <f>ROUND(K382*P380+K382,0)</f>
        <v>78170</v>
      </c>
    </row>
    <row r="383" spans="1:34" x14ac:dyDescent="0.25">
      <c r="A383" s="42" t="s">
        <v>688</v>
      </c>
      <c r="B383" s="49" t="s">
        <v>251</v>
      </c>
      <c r="C383" s="42" t="s">
        <v>678</v>
      </c>
      <c r="D383" s="105">
        <v>755945415</v>
      </c>
      <c r="E383" s="105">
        <v>2524373324</v>
      </c>
      <c r="F383" s="42" t="s">
        <v>247</v>
      </c>
      <c r="G383" s="84">
        <f>39787+(364+182)</f>
        <v>40333</v>
      </c>
      <c r="H383" s="53" t="str">
        <f>CHOOSE(MONTH(G383),"Jan","Feb","Mar","Apr","May","Jun","Jul","Aug","Sep","Oct","Nov","Dec")</f>
        <v>Jun</v>
      </c>
      <c r="I383" s="54">
        <f ca="1">DATEDIF(G383,TODAY(),"Y")</f>
        <v>6</v>
      </c>
      <c r="J383" s="55"/>
      <c r="K383" s="56">
        <v>74020</v>
      </c>
      <c r="L383" s="57">
        <v>2</v>
      </c>
      <c r="M383" s="62">
        <f>ROUND(K383*P381+K383,0)</f>
        <v>74020</v>
      </c>
    </row>
    <row r="384" spans="1:34" x14ac:dyDescent="0.25">
      <c r="A384" s="42" t="s">
        <v>941</v>
      </c>
      <c r="B384" s="49" t="s">
        <v>266</v>
      </c>
      <c r="C384" s="42" t="s">
        <v>930</v>
      </c>
      <c r="D384" s="105">
        <v>147683641</v>
      </c>
      <c r="E384" s="105">
        <v>9191657646</v>
      </c>
      <c r="F384" s="42" t="s">
        <v>247</v>
      </c>
      <c r="G384" s="112">
        <f>39788+(364+182)</f>
        <v>40334</v>
      </c>
      <c r="H384" s="53" t="str">
        <f>CHOOSE(MONTH(G384),"Jan","Feb","Mar","Apr","May","Jun","Jul","Aug","Sep","Oct","Nov","Dec")</f>
        <v>Jun</v>
      </c>
      <c r="I384" s="54">
        <f ca="1">DATEDIF(G384,TODAY(),"Y")</f>
        <v>6</v>
      </c>
      <c r="J384" s="55"/>
      <c r="K384" s="56">
        <v>47280</v>
      </c>
      <c r="L384" s="57">
        <v>1</v>
      </c>
      <c r="M384" s="62">
        <f>ROUND(K384*P382+K384,0)</f>
        <v>47280</v>
      </c>
    </row>
    <row r="385" spans="1:17" x14ac:dyDescent="0.25">
      <c r="A385" s="42" t="s">
        <v>891</v>
      </c>
      <c r="B385" s="49" t="s">
        <v>271</v>
      </c>
      <c r="C385" s="42" t="s">
        <v>856</v>
      </c>
      <c r="D385" s="105">
        <v>750581894</v>
      </c>
      <c r="E385" s="105">
        <v>2528433766</v>
      </c>
      <c r="F385" s="42" t="s">
        <v>247</v>
      </c>
      <c r="G385" s="84">
        <f>39804+(364+182)</f>
        <v>40350</v>
      </c>
      <c r="H385" s="53" t="str">
        <f>CHOOSE(MONTH(G385),"Jan","Feb","Mar","Apr","May","Jun","Jul","Aug","Sep","Oct","Nov","Dec")</f>
        <v>Jun</v>
      </c>
      <c r="I385" s="54">
        <f ca="1">DATEDIF(G385,TODAY(),"Y")</f>
        <v>6</v>
      </c>
      <c r="J385" s="55"/>
      <c r="K385" s="56">
        <v>21580</v>
      </c>
      <c r="L385" s="57">
        <v>3</v>
      </c>
      <c r="M385" s="62">
        <f>ROUND(K385*P383+K385,0)</f>
        <v>21580</v>
      </c>
    </row>
    <row r="386" spans="1:17" x14ac:dyDescent="0.25">
      <c r="A386" s="42" t="s">
        <v>636</v>
      </c>
      <c r="B386" s="49" t="s">
        <v>271</v>
      </c>
      <c r="C386" s="42" t="s">
        <v>626</v>
      </c>
      <c r="D386" s="105">
        <v>247406371</v>
      </c>
      <c r="E386" s="105">
        <v>9195299873</v>
      </c>
      <c r="F386" s="42" t="s">
        <v>261</v>
      </c>
      <c r="G386" s="84">
        <f>39805+(364+182)</f>
        <v>40351</v>
      </c>
      <c r="H386" s="53" t="str">
        <f>CHOOSE(MONTH(G386),"Jan","Feb","Mar","Apr","May","Jun","Jul","Aug","Sep","Oct","Nov","Dec")</f>
        <v>Jun</v>
      </c>
      <c r="I386" s="54">
        <f ca="1">DATEDIF(G386,TODAY(),"Y")</f>
        <v>6</v>
      </c>
      <c r="J386" s="55" t="s">
        <v>283</v>
      </c>
      <c r="K386" s="56">
        <v>20040</v>
      </c>
      <c r="L386" s="57">
        <v>3</v>
      </c>
      <c r="M386" s="62">
        <f>ROUND(K386*P384+K386,0)</f>
        <v>20040</v>
      </c>
    </row>
    <row r="387" spans="1:17" x14ac:dyDescent="0.25">
      <c r="A387" s="42" t="s">
        <v>1029</v>
      </c>
      <c r="B387" s="49" t="s">
        <v>271</v>
      </c>
      <c r="C387" s="42" t="s">
        <v>1025</v>
      </c>
      <c r="D387" s="105">
        <v>106099892</v>
      </c>
      <c r="E387" s="105">
        <v>9194436681</v>
      </c>
      <c r="F387" s="42" t="s">
        <v>247</v>
      </c>
      <c r="G387" s="84">
        <f>40173+(364+182)</f>
        <v>40719</v>
      </c>
      <c r="H387" s="53" t="str">
        <f>CHOOSE(MONTH(G387),"Jan","Feb","Mar","Apr","May","Jun","Jul","Aug","Sep","Oct","Nov","Dec")</f>
        <v>Jun</v>
      </c>
      <c r="I387" s="54">
        <f ca="1">DATEDIF(G387,TODAY(),"Y")</f>
        <v>5</v>
      </c>
      <c r="J387" s="55"/>
      <c r="K387" s="56">
        <v>66132</v>
      </c>
      <c r="L387" s="57">
        <v>4</v>
      </c>
      <c r="M387" s="62">
        <f>ROUND(K387*P385+K387,0)</f>
        <v>66132</v>
      </c>
    </row>
    <row r="388" spans="1:17" x14ac:dyDescent="0.25">
      <c r="A388" s="42" t="s">
        <v>388</v>
      </c>
      <c r="B388" s="49" t="s">
        <v>285</v>
      </c>
      <c r="C388" s="42" t="s">
        <v>381</v>
      </c>
      <c r="D388" s="105">
        <v>405297884</v>
      </c>
      <c r="E388" s="105">
        <v>2524747044</v>
      </c>
      <c r="F388" s="42" t="s">
        <v>256</v>
      </c>
      <c r="G388" s="84">
        <f>32525+(364+182)</f>
        <v>33071</v>
      </c>
      <c r="H388" s="53" t="str">
        <f>CHOOSE(MONTH(G388),"Jan","Feb","Mar","Apr","May","Jun","Jul","Aug","Sep","Oct","Nov","Dec")</f>
        <v>Jul</v>
      </c>
      <c r="I388" s="54">
        <f ca="1">DATEDIF(G388,TODAY(),"Y")</f>
        <v>26</v>
      </c>
      <c r="J388" s="55" t="s">
        <v>283</v>
      </c>
      <c r="K388" s="56">
        <v>69060</v>
      </c>
      <c r="L388" s="57">
        <v>1</v>
      </c>
      <c r="M388" s="62">
        <f>ROUND(K388*P386+K388,0)</f>
        <v>69060</v>
      </c>
    </row>
    <row r="389" spans="1:17" x14ac:dyDescent="0.25">
      <c r="A389" s="42" t="s">
        <v>439</v>
      </c>
      <c r="B389" s="49" t="s">
        <v>280</v>
      </c>
      <c r="C389" s="42" t="s">
        <v>417</v>
      </c>
      <c r="D389" s="105">
        <v>171868795</v>
      </c>
      <c r="E389" s="105">
        <v>9194323329</v>
      </c>
      <c r="F389" s="42" t="s">
        <v>256</v>
      </c>
      <c r="G389" s="84">
        <f>32533+(364+182)</f>
        <v>33079</v>
      </c>
      <c r="H389" s="53" t="str">
        <f>CHOOSE(MONTH(G389),"Jan","Feb","Mar","Apr","May","Jun","Jul","Aug","Sep","Oct","Nov","Dec")</f>
        <v>Jul</v>
      </c>
      <c r="I389" s="54">
        <f ca="1">DATEDIF(G389,TODAY(),"Y")</f>
        <v>26</v>
      </c>
      <c r="J389" s="55" t="s">
        <v>276</v>
      </c>
      <c r="K389" s="56">
        <v>32360</v>
      </c>
      <c r="L389" s="57">
        <v>4</v>
      </c>
      <c r="M389" s="62">
        <f>ROUND(K389*P387+K389,0)</f>
        <v>32360</v>
      </c>
    </row>
    <row r="390" spans="1:17" x14ac:dyDescent="0.25">
      <c r="A390" s="42" t="s">
        <v>896</v>
      </c>
      <c r="B390" s="49" t="s">
        <v>271</v>
      </c>
      <c r="C390" s="42" t="s">
        <v>856</v>
      </c>
      <c r="D390" s="105">
        <v>304024314</v>
      </c>
      <c r="E390" s="105">
        <v>9192244880</v>
      </c>
      <c r="F390" s="42" t="s">
        <v>247</v>
      </c>
      <c r="G390" s="84">
        <f>32875+(364+182)</f>
        <v>33421</v>
      </c>
      <c r="H390" s="53" t="str">
        <f>CHOOSE(MONTH(G390),"Jan","Feb","Mar","Apr","May","Jun","Jul","Aug","Sep","Oct","Nov","Dec")</f>
        <v>Jul</v>
      </c>
      <c r="I390" s="54">
        <f ca="1">DATEDIF(G390,TODAY(),"Y")</f>
        <v>25</v>
      </c>
      <c r="J390" s="55"/>
      <c r="K390" s="56">
        <v>46650</v>
      </c>
      <c r="L390" s="57">
        <v>2</v>
      </c>
      <c r="M390" s="62">
        <f>ROUND(K390*P388+K390,0)</f>
        <v>46650</v>
      </c>
    </row>
    <row r="391" spans="1:17" x14ac:dyDescent="0.25">
      <c r="A391" s="42" t="s">
        <v>431</v>
      </c>
      <c r="B391" s="49" t="s">
        <v>285</v>
      </c>
      <c r="C391" s="42" t="s">
        <v>417</v>
      </c>
      <c r="D391" s="105">
        <v>927043360</v>
      </c>
      <c r="E391" s="105">
        <v>2526053287</v>
      </c>
      <c r="F391" s="42" t="s">
        <v>247</v>
      </c>
      <c r="G391" s="84">
        <f>32878+(364+182)</f>
        <v>33424</v>
      </c>
      <c r="H391" s="53" t="str">
        <f>CHOOSE(MONTH(G391),"Jan","Feb","Mar","Apr","May","Jun","Jul","Aug","Sep","Oct","Nov","Dec")</f>
        <v>Jul</v>
      </c>
      <c r="I391" s="54">
        <f ca="1">DATEDIF(G391,TODAY(),"Y")</f>
        <v>25</v>
      </c>
      <c r="J391" s="55"/>
      <c r="K391" s="56">
        <v>22320</v>
      </c>
      <c r="L391" s="57">
        <v>2</v>
      </c>
      <c r="M391" s="62">
        <f>ROUND(K391*P389+K391,0)</f>
        <v>22320</v>
      </c>
    </row>
    <row r="392" spans="1:17" x14ac:dyDescent="0.25">
      <c r="A392" s="42" t="s">
        <v>752</v>
      </c>
      <c r="B392" s="49" t="s">
        <v>271</v>
      </c>
      <c r="C392" s="42" t="s">
        <v>750</v>
      </c>
      <c r="D392" s="105">
        <v>763518183</v>
      </c>
      <c r="E392" s="105">
        <v>2522581491</v>
      </c>
      <c r="F392" s="42" t="s">
        <v>256</v>
      </c>
      <c r="G392" s="84">
        <f>32894+(364+182)</f>
        <v>33440</v>
      </c>
      <c r="H392" s="53" t="str">
        <f>CHOOSE(MONTH(G392),"Jan","Feb","Mar","Apr","May","Jun","Jul","Aug","Sep","Oct","Nov","Dec")</f>
        <v>Jul</v>
      </c>
      <c r="I392" s="54">
        <f ca="1">DATEDIF(G392,TODAY(),"Y")</f>
        <v>25</v>
      </c>
      <c r="J392" s="55" t="s">
        <v>257</v>
      </c>
      <c r="K392" s="56">
        <v>69400</v>
      </c>
      <c r="L392" s="57">
        <v>5</v>
      </c>
      <c r="M392" s="62">
        <f>ROUND(K392*P390+K392,0)</f>
        <v>69400</v>
      </c>
    </row>
    <row r="393" spans="1:17" x14ac:dyDescent="0.25">
      <c r="A393" s="42" t="s">
        <v>405</v>
      </c>
      <c r="B393" s="49" t="s">
        <v>245</v>
      </c>
      <c r="C393" s="42" t="s">
        <v>391</v>
      </c>
      <c r="D393" s="105">
        <v>719937584</v>
      </c>
      <c r="E393" s="105">
        <v>9191653055</v>
      </c>
      <c r="F393" s="42" t="s">
        <v>256</v>
      </c>
      <c r="G393" s="84">
        <f>32901+(364+182)</f>
        <v>33447</v>
      </c>
      <c r="H393" s="53" t="str">
        <f>CHOOSE(MONTH(G393),"Jan","Feb","Mar","Apr","May","Jun","Jul","Aug","Sep","Oct","Nov","Dec")</f>
        <v>Jul</v>
      </c>
      <c r="I393" s="54">
        <f ca="1">DATEDIF(G393,TODAY(),"Y")</f>
        <v>25</v>
      </c>
      <c r="J393" s="55" t="s">
        <v>283</v>
      </c>
      <c r="K393" s="56">
        <v>37620</v>
      </c>
      <c r="L393" s="57">
        <v>5</v>
      </c>
      <c r="M393" s="62">
        <f>ROUND(K393*P391+K393,0)</f>
        <v>37620</v>
      </c>
      <c r="N393" s="110"/>
      <c r="O393" s="104"/>
    </row>
    <row r="394" spans="1:17" x14ac:dyDescent="0.25">
      <c r="A394" s="42" t="s">
        <v>330</v>
      </c>
      <c r="B394" s="49" t="s">
        <v>245</v>
      </c>
      <c r="C394" s="42" t="s">
        <v>312</v>
      </c>
      <c r="D394" s="105">
        <v>721173550</v>
      </c>
      <c r="E394" s="105">
        <v>2528356334</v>
      </c>
      <c r="F394" s="42" t="s">
        <v>256</v>
      </c>
      <c r="G394" s="84">
        <f>33240+(364+182)</f>
        <v>33786</v>
      </c>
      <c r="H394" s="53" t="str">
        <f>CHOOSE(MONTH(G394),"Jan","Feb","Mar","Apr","May","Jun","Jul","Aug","Sep","Oct","Nov","Dec")</f>
        <v>Jul</v>
      </c>
      <c r="I394" s="54">
        <f ca="1">DATEDIF(G394,TODAY(),"Y")</f>
        <v>24</v>
      </c>
      <c r="J394" s="55" t="s">
        <v>257</v>
      </c>
      <c r="K394" s="56">
        <v>71150</v>
      </c>
      <c r="L394" s="57">
        <v>2</v>
      </c>
      <c r="M394" s="62">
        <f>ROUND(K394*P392+K394,0)</f>
        <v>71150</v>
      </c>
      <c r="P394" s="78"/>
      <c r="Q394" s="78"/>
    </row>
    <row r="395" spans="1:17" x14ac:dyDescent="0.25">
      <c r="A395" s="42" t="s">
        <v>936</v>
      </c>
      <c r="B395" s="49" t="s">
        <v>245</v>
      </c>
      <c r="C395" s="42" t="s">
        <v>930</v>
      </c>
      <c r="D395" s="105">
        <v>741258203</v>
      </c>
      <c r="E395" s="105">
        <v>9195157707</v>
      </c>
      <c r="F395" s="42" t="s">
        <v>247</v>
      </c>
      <c r="G395" s="84">
        <f>33243+(364+182)</f>
        <v>33789</v>
      </c>
      <c r="H395" s="53" t="str">
        <f>CHOOSE(MONTH(G395),"Jan","Feb","Mar","Apr","May","Jun","Jul","Aug","Sep","Oct","Nov","Dec")</f>
        <v>Jul</v>
      </c>
      <c r="I395" s="54">
        <f ca="1">DATEDIF(G395,TODAY(),"Y")</f>
        <v>24</v>
      </c>
      <c r="J395" s="55"/>
      <c r="K395" s="56">
        <v>59128</v>
      </c>
      <c r="L395" s="57">
        <v>4</v>
      </c>
      <c r="M395" s="62">
        <f>ROUND(K395*P393+K395,0)</f>
        <v>59128</v>
      </c>
    </row>
    <row r="396" spans="1:17" x14ac:dyDescent="0.25">
      <c r="A396" s="42" t="s">
        <v>947</v>
      </c>
      <c r="B396" s="49" t="s">
        <v>271</v>
      </c>
      <c r="C396" s="42" t="s">
        <v>930</v>
      </c>
      <c r="D396" s="105">
        <v>693214759</v>
      </c>
      <c r="E396" s="105">
        <v>9192683895</v>
      </c>
      <c r="F396" s="42" t="s">
        <v>256</v>
      </c>
      <c r="G396" s="84">
        <f>33260+(364+182)</f>
        <v>33806</v>
      </c>
      <c r="H396" s="53" t="str">
        <f>CHOOSE(MONTH(G396),"Jan","Feb","Mar","Apr","May","Jun","Jul","Aug","Sep","Oct","Nov","Dec")</f>
        <v>Jul</v>
      </c>
      <c r="I396" s="54">
        <f ca="1">DATEDIF(G396,TODAY(),"Y")</f>
        <v>24</v>
      </c>
      <c r="J396" s="55" t="s">
        <v>262</v>
      </c>
      <c r="K396" s="56">
        <v>62780</v>
      </c>
      <c r="L396" s="57">
        <v>3</v>
      </c>
      <c r="M396" s="62">
        <f>ROUND(K396*P394+K396,0)</f>
        <v>62780</v>
      </c>
    </row>
    <row r="397" spans="1:17" x14ac:dyDescent="0.25">
      <c r="A397" s="42" t="s">
        <v>746</v>
      </c>
      <c r="B397" s="49" t="s">
        <v>285</v>
      </c>
      <c r="C397" s="42" t="s">
        <v>705</v>
      </c>
      <c r="D397" s="105">
        <v>210173249</v>
      </c>
      <c r="E397" s="105">
        <v>2525780571</v>
      </c>
      <c r="F397" s="42" t="s">
        <v>247</v>
      </c>
      <c r="G397" s="84">
        <f>33265+(364+182)</f>
        <v>33811</v>
      </c>
      <c r="H397" s="53" t="str">
        <f>CHOOSE(MONTH(G397),"Jan","Feb","Mar","Apr","May","Jun","Jul","Aug","Sep","Oct","Nov","Dec")</f>
        <v>Jul</v>
      </c>
      <c r="I397" s="54">
        <f ca="1">DATEDIF(G397,TODAY(),"Y")</f>
        <v>24</v>
      </c>
      <c r="J397" s="55"/>
      <c r="K397" s="56">
        <v>32650</v>
      </c>
      <c r="L397" s="57">
        <v>1</v>
      </c>
      <c r="M397" s="62">
        <f>ROUND(K397*P395+K397,0)</f>
        <v>32650</v>
      </c>
    </row>
    <row r="398" spans="1:17" x14ac:dyDescent="0.25">
      <c r="A398" s="42" t="s">
        <v>524</v>
      </c>
      <c r="B398" s="49" t="s">
        <v>271</v>
      </c>
      <c r="C398" s="42" t="s">
        <v>465</v>
      </c>
      <c r="D398" s="105">
        <v>380653169</v>
      </c>
      <c r="E398" s="105">
        <v>9194743535</v>
      </c>
      <c r="F398" s="42" t="s">
        <v>256</v>
      </c>
      <c r="G398" s="84">
        <f>33605+(364+182)</f>
        <v>34151</v>
      </c>
      <c r="H398" s="53" t="str">
        <f>CHOOSE(MONTH(G398),"Jan","Feb","Mar","Apr","May","Jun","Jul","Aug","Sep","Oct","Nov","Dec")</f>
        <v>Jul</v>
      </c>
      <c r="I398" s="54">
        <f ca="1">DATEDIF(G398,TODAY(),"Y")</f>
        <v>23</v>
      </c>
      <c r="J398" s="55" t="s">
        <v>283</v>
      </c>
      <c r="K398" s="56">
        <v>81980</v>
      </c>
      <c r="L398" s="57">
        <v>2</v>
      </c>
      <c r="M398" s="62">
        <f>ROUND(K398*P396+K398,0)</f>
        <v>81980</v>
      </c>
    </row>
    <row r="399" spans="1:17" x14ac:dyDescent="0.25">
      <c r="A399" s="42" t="s">
        <v>969</v>
      </c>
      <c r="B399" s="49" t="s">
        <v>271</v>
      </c>
      <c r="C399" s="42" t="s">
        <v>930</v>
      </c>
      <c r="D399" s="105">
        <v>418701946</v>
      </c>
      <c r="E399" s="105">
        <v>2524141191</v>
      </c>
      <c r="F399" s="42" t="s">
        <v>261</v>
      </c>
      <c r="G399" s="84">
        <f>33608+(364+182)</f>
        <v>34154</v>
      </c>
      <c r="H399" s="53" t="str">
        <f>CHOOSE(MONTH(G399),"Jan","Feb","Mar","Apr","May","Jun","Jul","Aug","Sep","Oct","Nov","Dec")</f>
        <v>Jul</v>
      </c>
      <c r="I399" s="54">
        <f ca="1">DATEDIF(G399,TODAY(),"Y")</f>
        <v>23</v>
      </c>
      <c r="J399" s="55" t="s">
        <v>257</v>
      </c>
      <c r="K399" s="56">
        <v>49545</v>
      </c>
      <c r="L399" s="57">
        <v>2</v>
      </c>
      <c r="M399" s="62">
        <f>ROUND(K399*P397+K399,0)</f>
        <v>49545</v>
      </c>
    </row>
    <row r="400" spans="1:17" x14ac:dyDescent="0.25">
      <c r="A400" s="42" t="s">
        <v>935</v>
      </c>
      <c r="B400" s="49" t="s">
        <v>280</v>
      </c>
      <c r="C400" s="42" t="s">
        <v>930</v>
      </c>
      <c r="D400" s="105">
        <v>426812736</v>
      </c>
      <c r="E400" s="105">
        <v>9198399625</v>
      </c>
      <c r="F400" s="42" t="s">
        <v>247</v>
      </c>
      <c r="G400" s="84">
        <f>33613+(364+182)</f>
        <v>34159</v>
      </c>
      <c r="H400" s="53" t="str">
        <f>CHOOSE(MONTH(G400),"Jan","Feb","Mar","Apr","May","Jun","Jul","Aug","Sep","Oct","Nov","Dec")</f>
        <v>Jul</v>
      </c>
      <c r="I400" s="54">
        <f ca="1">DATEDIF(G400,TODAY(),"Y")</f>
        <v>23</v>
      </c>
      <c r="J400" s="55"/>
      <c r="K400" s="56">
        <v>35240</v>
      </c>
      <c r="L400" s="57">
        <v>3</v>
      </c>
      <c r="M400" s="62">
        <f>ROUND(K400*P398+K400,0)</f>
        <v>35240</v>
      </c>
      <c r="P400" s="78"/>
      <c r="Q400" s="78"/>
    </row>
    <row r="401" spans="1:14" x14ac:dyDescent="0.25">
      <c r="A401" s="42" t="s">
        <v>875</v>
      </c>
      <c r="B401" s="49" t="s">
        <v>285</v>
      </c>
      <c r="C401" s="42" t="s">
        <v>856</v>
      </c>
      <c r="D401" s="105">
        <v>100703382</v>
      </c>
      <c r="E401" s="105">
        <v>9195157047</v>
      </c>
      <c r="F401" s="42" t="s">
        <v>256</v>
      </c>
      <c r="G401" s="84">
        <f>33614+(364+182)</f>
        <v>34160</v>
      </c>
      <c r="H401" s="53" t="str">
        <f>CHOOSE(MONTH(G401),"Jan","Feb","Mar","Apr","May","Jun","Jul","Aug","Sep","Oct","Nov","Dec")</f>
        <v>Jul</v>
      </c>
      <c r="I401" s="54">
        <f ca="1">DATEDIF(G401,TODAY(),"Y")</f>
        <v>23</v>
      </c>
      <c r="J401" s="55" t="s">
        <v>257</v>
      </c>
      <c r="K401" s="56">
        <v>54200</v>
      </c>
      <c r="L401" s="57">
        <v>4</v>
      </c>
      <c r="M401" s="62">
        <f>ROUND(K401*P399+K401,0)</f>
        <v>54200</v>
      </c>
    </row>
    <row r="402" spans="1:14" x14ac:dyDescent="0.25">
      <c r="A402" s="42" t="s">
        <v>444</v>
      </c>
      <c r="B402" s="49" t="s">
        <v>245</v>
      </c>
      <c r="C402" s="42" t="s">
        <v>417</v>
      </c>
      <c r="D402" s="105">
        <v>932787692</v>
      </c>
      <c r="E402" s="105">
        <v>2522612740</v>
      </c>
      <c r="F402" s="42" t="s">
        <v>247</v>
      </c>
      <c r="G402" s="84">
        <f>33615+(364+182)</f>
        <v>34161</v>
      </c>
      <c r="H402" s="53" t="str">
        <f>CHOOSE(MONTH(G402),"Jan","Feb","Mar","Apr","May","Jun","Jul","Aug","Sep","Oct","Nov","Dec")</f>
        <v>Jul</v>
      </c>
      <c r="I402" s="54">
        <f ca="1">DATEDIF(G402,TODAY(),"Y")</f>
        <v>23</v>
      </c>
      <c r="J402" s="55"/>
      <c r="K402" s="56">
        <v>64090</v>
      </c>
      <c r="L402" s="57">
        <v>2</v>
      </c>
      <c r="M402" s="62">
        <f>ROUND(K402*P400+K402,0)</f>
        <v>64090</v>
      </c>
    </row>
    <row r="403" spans="1:14" x14ac:dyDescent="0.25">
      <c r="A403" s="42" t="s">
        <v>560</v>
      </c>
      <c r="B403" s="49" t="s">
        <v>245</v>
      </c>
      <c r="C403" s="42" t="s">
        <v>465</v>
      </c>
      <c r="D403" s="105">
        <v>427260216</v>
      </c>
      <c r="E403" s="105">
        <v>9198999194</v>
      </c>
      <c r="F403" s="42" t="s">
        <v>261</v>
      </c>
      <c r="G403" s="84">
        <f>33617+(364+182)</f>
        <v>34163</v>
      </c>
      <c r="H403" s="53" t="str">
        <f>CHOOSE(MONTH(G403),"Jan","Feb","Mar","Apr","May","Jun","Jul","Aug","Sep","Oct","Nov","Dec")</f>
        <v>Jul</v>
      </c>
      <c r="I403" s="54">
        <f ca="1">DATEDIF(G403,TODAY(),"Y")</f>
        <v>23</v>
      </c>
      <c r="J403" s="55" t="s">
        <v>262</v>
      </c>
      <c r="K403" s="56">
        <v>18895</v>
      </c>
      <c r="L403" s="57">
        <v>4</v>
      </c>
      <c r="M403" s="62">
        <f>ROUND(K403*P401+K403,0)</f>
        <v>18895</v>
      </c>
    </row>
    <row r="404" spans="1:14" x14ac:dyDescent="0.25">
      <c r="A404" s="42" t="s">
        <v>551</v>
      </c>
      <c r="B404" s="49" t="s">
        <v>280</v>
      </c>
      <c r="C404" s="42" t="s">
        <v>465</v>
      </c>
      <c r="D404" s="105">
        <v>366740174</v>
      </c>
      <c r="E404" s="105">
        <v>2521549933</v>
      </c>
      <c r="F404" s="42" t="s">
        <v>252</v>
      </c>
      <c r="G404" s="84">
        <f>33619+(364+182)</f>
        <v>34165</v>
      </c>
      <c r="H404" s="53" t="str">
        <f>CHOOSE(MONTH(G404),"Jan","Feb","Mar","Apr","May","Jun","Jul","Aug","Sep","Oct","Nov","Dec")</f>
        <v>Jul</v>
      </c>
      <c r="I404" s="54">
        <f ca="1">DATEDIF(G404,TODAY(),"Y")</f>
        <v>23</v>
      </c>
      <c r="J404" s="55"/>
      <c r="K404" s="56">
        <v>30416</v>
      </c>
      <c r="L404" s="57">
        <v>1</v>
      </c>
      <c r="M404" s="62">
        <f>ROUND(K404*P402+K404,0)</f>
        <v>30416</v>
      </c>
    </row>
    <row r="405" spans="1:14" x14ac:dyDescent="0.25">
      <c r="A405" s="42" t="s">
        <v>355</v>
      </c>
      <c r="B405" s="49" t="s">
        <v>271</v>
      </c>
      <c r="C405" s="42" t="s">
        <v>312</v>
      </c>
      <c r="D405" s="105">
        <v>148899089</v>
      </c>
      <c r="E405" s="105">
        <v>2524734960</v>
      </c>
      <c r="F405" s="42" t="s">
        <v>261</v>
      </c>
      <c r="G405" s="84">
        <f>33620+(364+182)</f>
        <v>34166</v>
      </c>
      <c r="H405" s="53" t="str">
        <f>CHOOSE(MONTH(G405),"Jan","Feb","Mar","Apr","May","Jun","Jul","Aug","Sep","Oct","Nov","Dec")</f>
        <v>Jul</v>
      </c>
      <c r="I405" s="54">
        <f ca="1">DATEDIF(G405,TODAY(),"Y")</f>
        <v>23</v>
      </c>
      <c r="J405" s="55" t="s">
        <v>257</v>
      </c>
      <c r="K405" s="56">
        <v>26890</v>
      </c>
      <c r="L405" s="57">
        <v>3</v>
      </c>
      <c r="M405" s="62">
        <f>ROUND(K405*P403+K405,0)</f>
        <v>26890</v>
      </c>
    </row>
    <row r="406" spans="1:14" x14ac:dyDescent="0.25">
      <c r="A406" s="42" t="s">
        <v>819</v>
      </c>
      <c r="B406" s="49" t="s">
        <v>271</v>
      </c>
      <c r="C406" s="42" t="s">
        <v>767</v>
      </c>
      <c r="D406" s="105">
        <v>317193890</v>
      </c>
      <c r="E406" s="105">
        <v>9192350434</v>
      </c>
      <c r="F406" s="42" t="s">
        <v>256</v>
      </c>
      <c r="G406" s="84">
        <f>33623+(364+182)</f>
        <v>34169</v>
      </c>
      <c r="H406" s="53" t="str">
        <f>CHOOSE(MONTH(G406),"Jan","Feb","Mar","Apr","May","Jun","Jul","Aug","Sep","Oct","Nov","Dec")</f>
        <v>Jul</v>
      </c>
      <c r="I406" s="54">
        <f ca="1">DATEDIF(G406,TODAY(),"Y")</f>
        <v>23</v>
      </c>
      <c r="J406" s="55" t="s">
        <v>267</v>
      </c>
      <c r="K406" s="56">
        <v>69420</v>
      </c>
      <c r="L406" s="57">
        <v>2</v>
      </c>
      <c r="M406" s="62">
        <f>ROUND(K406*P404+K406,0)</f>
        <v>69420</v>
      </c>
    </row>
    <row r="407" spans="1:14" x14ac:dyDescent="0.25">
      <c r="A407" s="42" t="s">
        <v>666</v>
      </c>
      <c r="B407" s="49" t="s">
        <v>285</v>
      </c>
      <c r="C407" s="42" t="s">
        <v>626</v>
      </c>
      <c r="D407" s="105">
        <v>422957475</v>
      </c>
      <c r="E407" s="105">
        <v>2524273090</v>
      </c>
      <c r="F407" s="42" t="s">
        <v>256</v>
      </c>
      <c r="G407" s="84">
        <f>33631+(364+182)</f>
        <v>34177</v>
      </c>
      <c r="H407" s="53" t="str">
        <f>CHOOSE(MONTH(G407),"Jan","Feb","Mar","Apr","May","Jun","Jul","Aug","Sep","Oct","Nov","Dec")</f>
        <v>Jul</v>
      </c>
      <c r="I407" s="54">
        <f ca="1">DATEDIF(G407,TODAY(),"Y")</f>
        <v>23</v>
      </c>
      <c r="J407" s="55" t="s">
        <v>283</v>
      </c>
      <c r="K407" s="56">
        <v>65250</v>
      </c>
      <c r="L407" s="57">
        <v>2</v>
      </c>
      <c r="M407" s="62">
        <f>ROUND(K407*P405+K407,0)</f>
        <v>65250</v>
      </c>
    </row>
    <row r="408" spans="1:14" x14ac:dyDescent="0.25">
      <c r="A408" s="42" t="s">
        <v>867</v>
      </c>
      <c r="B408" s="49" t="s">
        <v>271</v>
      </c>
      <c r="C408" s="42" t="s">
        <v>856</v>
      </c>
      <c r="D408" s="105">
        <v>705186668</v>
      </c>
      <c r="E408" s="105">
        <v>9193922813</v>
      </c>
      <c r="F408" s="42" t="s">
        <v>252</v>
      </c>
      <c r="G408" s="84">
        <f>33634+(364+182)</f>
        <v>34180</v>
      </c>
      <c r="H408" s="53" t="str">
        <f>CHOOSE(MONTH(G408),"Jan","Feb","Mar","Apr","May","Jun","Jul","Aug","Sep","Oct","Nov","Dec")</f>
        <v>Jul</v>
      </c>
      <c r="I408" s="54">
        <f ca="1">DATEDIF(G408,TODAY(),"Y")</f>
        <v>23</v>
      </c>
      <c r="J408" s="55"/>
      <c r="K408" s="56">
        <v>26484</v>
      </c>
      <c r="L408" s="57">
        <v>5</v>
      </c>
      <c r="M408" s="62">
        <f>ROUND(K408*P406+K408,0)</f>
        <v>26484</v>
      </c>
    </row>
    <row r="409" spans="1:14" x14ac:dyDescent="0.25">
      <c r="A409" s="42" t="s">
        <v>1030</v>
      </c>
      <c r="B409" s="49" t="s">
        <v>285</v>
      </c>
      <c r="C409" s="42" t="s">
        <v>1031</v>
      </c>
      <c r="D409" s="105">
        <v>978092408</v>
      </c>
      <c r="E409" s="105">
        <v>9191888279</v>
      </c>
      <c r="F409" s="42" t="s">
        <v>247</v>
      </c>
      <c r="G409" s="84">
        <f>33979+(364+182)</f>
        <v>34525</v>
      </c>
      <c r="H409" s="53" t="str">
        <f>CHOOSE(MONTH(G409),"Jan","Feb","Mar","Apr","May","Jun","Jul","Aug","Sep","Oct","Nov","Dec")</f>
        <v>Jul</v>
      </c>
      <c r="I409" s="54">
        <f ca="1">DATEDIF(G409,TODAY(),"Y")</f>
        <v>22</v>
      </c>
      <c r="J409" s="55"/>
      <c r="K409" s="56">
        <v>64720</v>
      </c>
      <c r="L409" s="57">
        <v>5</v>
      </c>
      <c r="M409" s="62">
        <f>ROUND(K409*P407+K409,0)</f>
        <v>64720</v>
      </c>
    </row>
    <row r="410" spans="1:14" x14ac:dyDescent="0.25">
      <c r="A410" s="42" t="s">
        <v>938</v>
      </c>
      <c r="B410" s="49" t="s">
        <v>285</v>
      </c>
      <c r="C410" s="42" t="s">
        <v>930</v>
      </c>
      <c r="D410" s="105">
        <v>324069262</v>
      </c>
      <c r="E410" s="105">
        <v>2525459665</v>
      </c>
      <c r="F410" s="42" t="s">
        <v>247</v>
      </c>
      <c r="G410" s="84">
        <f>33988+(364+182)</f>
        <v>34534</v>
      </c>
      <c r="H410" s="53" t="str">
        <f>CHOOSE(MONTH(G410),"Jan","Feb","Mar","Apr","May","Jun","Jul","Aug","Sep","Oct","Nov","Dec")</f>
        <v>Jul</v>
      </c>
      <c r="I410" s="54">
        <f ca="1">DATEDIF(G410,TODAY(),"Y")</f>
        <v>22</v>
      </c>
      <c r="J410" s="55"/>
      <c r="K410" s="56">
        <v>45105</v>
      </c>
      <c r="L410" s="57">
        <v>1</v>
      </c>
      <c r="M410" s="62">
        <f>ROUND(K410*P408+K410,0)</f>
        <v>45105</v>
      </c>
    </row>
    <row r="411" spans="1:14" x14ac:dyDescent="0.25">
      <c r="A411" s="42" t="s">
        <v>469</v>
      </c>
      <c r="B411" s="49" t="s">
        <v>245</v>
      </c>
      <c r="C411" s="42" t="s">
        <v>465</v>
      </c>
      <c r="D411" s="105">
        <v>865073824</v>
      </c>
      <c r="E411" s="105">
        <v>2524785979</v>
      </c>
      <c r="F411" s="42" t="s">
        <v>256</v>
      </c>
      <c r="G411" s="84">
        <f>33995+(364+182)</f>
        <v>34541</v>
      </c>
      <c r="H411" s="53" t="str">
        <f>CHOOSE(MONTH(G411),"Jan","Feb","Mar","Apr","May","Jun","Jul","Aug","Sep","Oct","Nov","Dec")</f>
        <v>Jul</v>
      </c>
      <c r="I411" s="54">
        <f ca="1">DATEDIF(G411,TODAY(),"Y")</f>
        <v>22</v>
      </c>
      <c r="J411" s="55" t="s">
        <v>276</v>
      </c>
      <c r="K411" s="56">
        <v>34480</v>
      </c>
      <c r="L411" s="57">
        <v>3</v>
      </c>
      <c r="M411" s="62">
        <f>ROUND(K411*P409+K411,0)</f>
        <v>34480</v>
      </c>
    </row>
    <row r="412" spans="1:14" x14ac:dyDescent="0.25">
      <c r="A412" s="42" t="s">
        <v>604</v>
      </c>
      <c r="B412" s="49" t="s">
        <v>285</v>
      </c>
      <c r="C412" s="42" t="s">
        <v>465</v>
      </c>
      <c r="D412" s="105">
        <v>682500261</v>
      </c>
      <c r="E412" s="105">
        <v>9191163627</v>
      </c>
      <c r="F412" s="42" t="s">
        <v>256</v>
      </c>
      <c r="G412" s="84">
        <f>34335+(364+182)</f>
        <v>34881</v>
      </c>
      <c r="H412" s="53" t="str">
        <f>CHOOSE(MONTH(G412),"Jan","Feb","Mar","Apr","May","Jun","Jul","Aug","Sep","Oct","Nov","Dec")</f>
        <v>Jul</v>
      </c>
      <c r="I412" s="54">
        <f ca="1">DATEDIF(G412,TODAY(),"Y")</f>
        <v>21</v>
      </c>
      <c r="J412" s="55" t="s">
        <v>262</v>
      </c>
      <c r="K412" s="56">
        <v>63070</v>
      </c>
      <c r="L412" s="57">
        <v>1</v>
      </c>
      <c r="M412" s="62">
        <f>ROUND(K412*P410+K412,0)</f>
        <v>63070</v>
      </c>
      <c r="N412" s="110"/>
    </row>
    <row r="413" spans="1:14" x14ac:dyDescent="0.25">
      <c r="A413" s="42" t="s">
        <v>730</v>
      </c>
      <c r="B413" s="49" t="s">
        <v>271</v>
      </c>
      <c r="C413" s="42" t="s">
        <v>705</v>
      </c>
      <c r="D413" s="105">
        <v>931977751</v>
      </c>
      <c r="E413" s="105">
        <v>9194471952</v>
      </c>
      <c r="F413" s="42" t="s">
        <v>256</v>
      </c>
      <c r="G413" s="84">
        <f>34355+(364+182)</f>
        <v>34901</v>
      </c>
      <c r="H413" s="53" t="str">
        <f>CHOOSE(MONTH(G413),"Jan","Feb","Mar","Apr","May","Jun","Jul","Aug","Sep","Oct","Nov","Dec")</f>
        <v>Jul</v>
      </c>
      <c r="I413" s="54">
        <f ca="1">DATEDIF(G413,TODAY(),"Y")</f>
        <v>21</v>
      </c>
      <c r="J413" s="55" t="s">
        <v>257</v>
      </c>
      <c r="K413" s="56">
        <v>25830</v>
      </c>
      <c r="L413" s="57">
        <v>5</v>
      </c>
      <c r="M413" s="62">
        <f>ROUND(K413*P411+K413,0)</f>
        <v>25830</v>
      </c>
    </row>
    <row r="414" spans="1:14" x14ac:dyDescent="0.25">
      <c r="A414" s="42" t="s">
        <v>937</v>
      </c>
      <c r="B414" s="49" t="s">
        <v>285</v>
      </c>
      <c r="C414" s="42" t="s">
        <v>930</v>
      </c>
      <c r="D414" s="105">
        <v>101829876</v>
      </c>
      <c r="E414" s="105">
        <v>2522552565</v>
      </c>
      <c r="F414" s="42" t="s">
        <v>252</v>
      </c>
      <c r="G414" s="84">
        <f>34701+(364+182)</f>
        <v>35247</v>
      </c>
      <c r="H414" s="53" t="str">
        <f>CHOOSE(MONTH(G414),"Jan","Feb","Mar","Apr","May","Jun","Jul","Aug","Sep","Oct","Nov","Dec")</f>
        <v>Jul</v>
      </c>
      <c r="I414" s="54">
        <f ca="1">DATEDIF(G414,TODAY(),"Y")</f>
        <v>20</v>
      </c>
      <c r="J414" s="55"/>
      <c r="K414" s="56">
        <v>33752</v>
      </c>
      <c r="L414" s="57">
        <v>3</v>
      </c>
      <c r="M414" s="62">
        <f>ROUND(K414*P412+K414,0)</f>
        <v>33752</v>
      </c>
    </row>
    <row r="415" spans="1:14" x14ac:dyDescent="0.25">
      <c r="A415" s="42" t="s">
        <v>425</v>
      </c>
      <c r="B415" s="49" t="s">
        <v>285</v>
      </c>
      <c r="C415" s="42" t="s">
        <v>417</v>
      </c>
      <c r="D415" s="105">
        <v>110184347</v>
      </c>
      <c r="E415" s="105">
        <v>2526166452</v>
      </c>
      <c r="F415" s="42" t="s">
        <v>256</v>
      </c>
      <c r="G415" s="84">
        <f>34707+(364+182)</f>
        <v>35253</v>
      </c>
      <c r="H415" s="53" t="str">
        <f>CHOOSE(MONTH(G415),"Jan","Feb","Mar","Apr","May","Jun","Jul","Aug","Sep","Oct","Nov","Dec")</f>
        <v>Jul</v>
      </c>
      <c r="I415" s="54">
        <f ca="1">DATEDIF(G415,TODAY(),"Y")</f>
        <v>20</v>
      </c>
      <c r="J415" s="55" t="s">
        <v>257</v>
      </c>
      <c r="K415" s="56">
        <v>63780</v>
      </c>
      <c r="L415" s="57">
        <v>5</v>
      </c>
      <c r="M415" s="62">
        <f>ROUND(K415*P413+K415,0)</f>
        <v>63780</v>
      </c>
    </row>
    <row r="416" spans="1:14" x14ac:dyDescent="0.25">
      <c r="A416" s="42" t="s">
        <v>646</v>
      </c>
      <c r="B416" s="49" t="s">
        <v>245</v>
      </c>
      <c r="C416" s="42" t="s">
        <v>626</v>
      </c>
      <c r="D416" s="105">
        <v>343897392</v>
      </c>
      <c r="E416" s="105">
        <v>2526674988</v>
      </c>
      <c r="F416" s="42" t="s">
        <v>256</v>
      </c>
      <c r="G416" s="84">
        <f>34708+(364+182)</f>
        <v>35254</v>
      </c>
      <c r="H416" s="53" t="str">
        <f>CHOOSE(MONTH(G416),"Jan","Feb","Mar","Apr","May","Jun","Jul","Aug","Sep","Oct","Nov","Dec")</f>
        <v>Jul</v>
      </c>
      <c r="I416" s="54">
        <f ca="1">DATEDIF(G416,TODAY(),"Y")</f>
        <v>20</v>
      </c>
      <c r="J416" s="55" t="s">
        <v>257</v>
      </c>
      <c r="K416" s="56">
        <v>48800</v>
      </c>
      <c r="L416" s="57">
        <v>4</v>
      </c>
      <c r="M416" s="62">
        <f>ROUND(K416*P414+K416,0)</f>
        <v>48800</v>
      </c>
    </row>
    <row r="417" spans="1:34" x14ac:dyDescent="0.25">
      <c r="A417" s="42" t="s">
        <v>360</v>
      </c>
      <c r="B417" s="49" t="s">
        <v>285</v>
      </c>
      <c r="C417" s="42" t="s">
        <v>312</v>
      </c>
      <c r="D417" s="105">
        <v>427811310</v>
      </c>
      <c r="E417" s="105">
        <v>9191362796</v>
      </c>
      <c r="F417" s="42" t="s">
        <v>247</v>
      </c>
      <c r="G417" s="84">
        <f>34709+(364+182)</f>
        <v>35255</v>
      </c>
      <c r="H417" s="53" t="str">
        <f>CHOOSE(MONTH(G417),"Jan","Feb","Mar","Apr","May","Jun","Jul","Aug","Sep","Oct","Nov","Dec")</f>
        <v>Jul</v>
      </c>
      <c r="I417" s="54">
        <f ca="1">DATEDIF(G417,TODAY(),"Y")</f>
        <v>20</v>
      </c>
      <c r="J417" s="55"/>
      <c r="K417" s="56">
        <v>89310</v>
      </c>
      <c r="L417" s="57">
        <v>5</v>
      </c>
      <c r="M417" s="62">
        <f>ROUND(K417*P415+K417,0)</f>
        <v>89310</v>
      </c>
    </row>
    <row r="418" spans="1:34" s="87" customFormat="1" x14ac:dyDescent="0.25">
      <c r="A418" s="42" t="s">
        <v>964</v>
      </c>
      <c r="B418" s="49" t="s">
        <v>285</v>
      </c>
      <c r="C418" s="42" t="s">
        <v>930</v>
      </c>
      <c r="D418" s="105">
        <v>627494412</v>
      </c>
      <c r="E418" s="105">
        <v>2528249735</v>
      </c>
      <c r="F418" s="42" t="s">
        <v>256</v>
      </c>
      <c r="G418" s="84">
        <f>34730+(364+182)</f>
        <v>35276</v>
      </c>
      <c r="H418" s="53" t="str">
        <f>CHOOSE(MONTH(G418),"Jan","Feb","Mar","Apr","May","Jun","Jul","Aug","Sep","Oct","Nov","Dec")</f>
        <v>Jul</v>
      </c>
      <c r="I418" s="54">
        <f ca="1">DATEDIF(G418,TODAY(),"Y")</f>
        <v>20</v>
      </c>
      <c r="J418" s="55" t="s">
        <v>257</v>
      </c>
      <c r="K418" s="56">
        <v>58370</v>
      </c>
      <c r="L418" s="57">
        <v>5</v>
      </c>
      <c r="M418" s="62">
        <f>ROUND(K418*P416+K418,0)</f>
        <v>58370</v>
      </c>
      <c r="N418" s="103"/>
      <c r="O418" s="48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</row>
    <row r="419" spans="1:34" s="87" customFormat="1" x14ac:dyDescent="0.25">
      <c r="A419" s="42" t="s">
        <v>805</v>
      </c>
      <c r="B419" s="49" t="s">
        <v>285</v>
      </c>
      <c r="C419" s="42" t="s">
        <v>767</v>
      </c>
      <c r="D419" s="105">
        <v>394876677</v>
      </c>
      <c r="E419" s="105">
        <v>2522551469</v>
      </c>
      <c r="F419" s="42" t="s">
        <v>256</v>
      </c>
      <c r="G419" s="84">
        <f>35070+(364+182)</f>
        <v>35616</v>
      </c>
      <c r="H419" s="53" t="str">
        <f>CHOOSE(MONTH(G419),"Jan","Feb","Mar","Apr","May","Jun","Jul","Aug","Sep","Oct","Nov","Dec")</f>
        <v>Jul</v>
      </c>
      <c r="I419" s="54">
        <f ca="1">DATEDIF(G419,TODAY(),"Y")</f>
        <v>19</v>
      </c>
      <c r="J419" s="55" t="s">
        <v>283</v>
      </c>
      <c r="K419" s="56">
        <v>34060</v>
      </c>
      <c r="L419" s="57">
        <v>2</v>
      </c>
      <c r="M419" s="62">
        <f>ROUND(K419*P417+K419,0)</f>
        <v>34060</v>
      </c>
      <c r="N419" s="103"/>
      <c r="O419" s="48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</row>
    <row r="420" spans="1:34" s="87" customFormat="1" x14ac:dyDescent="0.25">
      <c r="A420" s="42" t="s">
        <v>1018</v>
      </c>
      <c r="B420" s="49" t="s">
        <v>285</v>
      </c>
      <c r="C420" s="42" t="s">
        <v>930</v>
      </c>
      <c r="D420" s="105">
        <v>296641985</v>
      </c>
      <c r="E420" s="105">
        <v>2528217409</v>
      </c>
      <c r="F420" s="42" t="s">
        <v>256</v>
      </c>
      <c r="G420" s="84">
        <f>35081+(364+182)</f>
        <v>35627</v>
      </c>
      <c r="H420" s="53" t="str">
        <f>CHOOSE(MONTH(G420),"Jan","Feb","Mar","Apr","May","Jun","Jul","Aug","Sep","Oct","Nov","Dec")</f>
        <v>Jul</v>
      </c>
      <c r="I420" s="54">
        <f ca="1">DATEDIF(G420,TODAY(),"Y")</f>
        <v>19</v>
      </c>
      <c r="J420" s="55" t="s">
        <v>283</v>
      </c>
      <c r="K420" s="56">
        <v>41380</v>
      </c>
      <c r="L420" s="57">
        <v>2</v>
      </c>
      <c r="M420" s="62">
        <f>ROUND(K420*P418+K420,0)</f>
        <v>41380</v>
      </c>
      <c r="N420" s="103"/>
      <c r="O420" s="48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</row>
    <row r="421" spans="1:34" s="87" customFormat="1" x14ac:dyDescent="0.25">
      <c r="A421" s="42" t="s">
        <v>466</v>
      </c>
      <c r="B421" s="49" t="s">
        <v>285</v>
      </c>
      <c r="C421" s="42" t="s">
        <v>465</v>
      </c>
      <c r="D421" s="105">
        <v>722630791</v>
      </c>
      <c r="E421" s="105">
        <v>2522263363</v>
      </c>
      <c r="F421" s="42" t="s">
        <v>252</v>
      </c>
      <c r="G421" s="84">
        <f>35436+(364+182)</f>
        <v>35982</v>
      </c>
      <c r="H421" s="53" t="str">
        <f>CHOOSE(MONTH(G421),"Jan","Feb","Mar","Apr","May","Jun","Jul","Aug","Sep","Oct","Nov","Dec")</f>
        <v>Jul</v>
      </c>
      <c r="I421" s="54">
        <f ca="1">DATEDIF(G421,TODAY(),"Y")</f>
        <v>18</v>
      </c>
      <c r="J421" s="55"/>
      <c r="K421" s="56">
        <v>8904</v>
      </c>
      <c r="L421" s="57">
        <v>3</v>
      </c>
      <c r="M421" s="62">
        <f>ROUND(K421*P419+K421,0)</f>
        <v>8904</v>
      </c>
      <c r="N421" s="103"/>
      <c r="O421" s="48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</row>
    <row r="422" spans="1:34" s="87" customFormat="1" x14ac:dyDescent="0.25">
      <c r="A422" s="42" t="s">
        <v>446</v>
      </c>
      <c r="B422" s="49" t="s">
        <v>251</v>
      </c>
      <c r="C422" s="42" t="s">
        <v>417</v>
      </c>
      <c r="D422" s="105">
        <v>105708355</v>
      </c>
      <c r="E422" s="105">
        <v>2524697218</v>
      </c>
      <c r="F422" s="42" t="s">
        <v>256</v>
      </c>
      <c r="G422" s="84">
        <f>35443+(364+182)</f>
        <v>35989</v>
      </c>
      <c r="H422" s="53" t="str">
        <f>CHOOSE(MONTH(G422),"Jan","Feb","Mar","Apr","May","Jun","Jul","Aug","Sep","Oct","Nov","Dec")</f>
        <v>Jul</v>
      </c>
      <c r="I422" s="54">
        <f ca="1">DATEDIF(G422,TODAY(),"Y")</f>
        <v>18</v>
      </c>
      <c r="J422" s="55" t="s">
        <v>262</v>
      </c>
      <c r="K422" s="56">
        <v>71010</v>
      </c>
      <c r="L422" s="57">
        <v>5</v>
      </c>
      <c r="M422" s="62">
        <f>ROUND(K422*P420+K422,0)</f>
        <v>71010</v>
      </c>
      <c r="N422" s="103"/>
      <c r="O422" s="48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</row>
    <row r="423" spans="1:34" s="87" customFormat="1" x14ac:dyDescent="0.25">
      <c r="A423" s="42" t="s">
        <v>828</v>
      </c>
      <c r="B423" s="49" t="s">
        <v>271</v>
      </c>
      <c r="C423" s="42" t="s">
        <v>767</v>
      </c>
      <c r="D423" s="105">
        <v>379340654</v>
      </c>
      <c r="E423" s="105">
        <v>9198642893</v>
      </c>
      <c r="F423" s="42" t="s">
        <v>256</v>
      </c>
      <c r="G423" s="84">
        <f>35444+(364+182)</f>
        <v>35990</v>
      </c>
      <c r="H423" s="53" t="str">
        <f>CHOOSE(MONTH(G423),"Jan","Feb","Mar","Apr","May","Jun","Jul","Aug","Sep","Oct","Nov","Dec")</f>
        <v>Jul</v>
      </c>
      <c r="I423" s="54">
        <f ca="1">DATEDIF(G423,TODAY(),"Y")</f>
        <v>18</v>
      </c>
      <c r="J423" s="55" t="s">
        <v>276</v>
      </c>
      <c r="K423" s="56">
        <v>36890</v>
      </c>
      <c r="L423" s="57">
        <v>1</v>
      </c>
      <c r="M423" s="62">
        <f>ROUND(K423*P421+K423,0)</f>
        <v>36890</v>
      </c>
      <c r="N423" s="103"/>
      <c r="O423" s="48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</row>
    <row r="424" spans="1:34" s="87" customFormat="1" x14ac:dyDescent="0.25">
      <c r="A424" s="42" t="s">
        <v>492</v>
      </c>
      <c r="B424" s="49" t="s">
        <v>271</v>
      </c>
      <c r="C424" s="42" t="s">
        <v>465</v>
      </c>
      <c r="D424" s="105">
        <v>332289257</v>
      </c>
      <c r="E424" s="105">
        <v>9198367725</v>
      </c>
      <c r="F424" s="42" t="s">
        <v>247</v>
      </c>
      <c r="G424" s="84">
        <f>35446+(364+182)</f>
        <v>35992</v>
      </c>
      <c r="H424" s="53" t="str">
        <f>CHOOSE(MONTH(G424),"Jan","Feb","Mar","Apr","May","Jun","Jul","Aug","Sep","Oct","Nov","Dec")</f>
        <v>Jul</v>
      </c>
      <c r="I424" s="54">
        <f ca="1">DATEDIF(G424,TODAY(),"Y")</f>
        <v>18</v>
      </c>
      <c r="J424" s="55"/>
      <c r="K424" s="56">
        <v>68260</v>
      </c>
      <c r="L424" s="57">
        <v>5</v>
      </c>
      <c r="M424" s="62">
        <f>ROUND(K424*P422+K424,0)</f>
        <v>68260</v>
      </c>
      <c r="N424" s="103"/>
      <c r="O424" s="48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</row>
    <row r="425" spans="1:34" s="87" customFormat="1" x14ac:dyDescent="0.25">
      <c r="A425" s="42" t="s">
        <v>537</v>
      </c>
      <c r="B425" s="49" t="s">
        <v>271</v>
      </c>
      <c r="C425" s="42" t="s">
        <v>465</v>
      </c>
      <c r="D425" s="105">
        <v>280304785</v>
      </c>
      <c r="E425" s="105">
        <v>2525918708</v>
      </c>
      <c r="F425" s="42" t="s">
        <v>256</v>
      </c>
      <c r="G425" s="84">
        <f>35450+(364+182)</f>
        <v>35996</v>
      </c>
      <c r="H425" s="53" t="str">
        <f>CHOOSE(MONTH(G425),"Jan","Feb","Mar","Apr","May","Jun","Jul","Aug","Sep","Oct","Nov","Dec")</f>
        <v>Jul</v>
      </c>
      <c r="I425" s="54">
        <f ca="1">DATEDIF(G425,TODAY(),"Y")</f>
        <v>18</v>
      </c>
      <c r="J425" s="55" t="s">
        <v>257</v>
      </c>
      <c r="K425" s="56">
        <v>40340</v>
      </c>
      <c r="L425" s="57">
        <v>2</v>
      </c>
      <c r="M425" s="62">
        <f>ROUND(K425*P423+K425,0)</f>
        <v>40340</v>
      </c>
      <c r="N425" s="103"/>
      <c r="O425" s="48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</row>
    <row r="426" spans="1:34" s="87" customFormat="1" x14ac:dyDescent="0.25">
      <c r="A426" s="42" t="s">
        <v>614</v>
      </c>
      <c r="B426" s="49" t="s">
        <v>285</v>
      </c>
      <c r="C426" s="42" t="s">
        <v>465</v>
      </c>
      <c r="D426" s="105">
        <v>542653222</v>
      </c>
      <c r="E426" s="105">
        <v>9193708610</v>
      </c>
      <c r="F426" s="42" t="s">
        <v>247</v>
      </c>
      <c r="G426" s="84">
        <f>35451+(364+182)</f>
        <v>35997</v>
      </c>
      <c r="H426" s="53" t="str">
        <f>CHOOSE(MONTH(G426),"Jan","Feb","Mar","Apr","May","Jun","Jul","Aug","Sep","Oct","Nov","Dec")</f>
        <v>Jul</v>
      </c>
      <c r="I426" s="54">
        <f ca="1">DATEDIF(G426,TODAY(),"Y")</f>
        <v>18</v>
      </c>
      <c r="J426" s="55"/>
      <c r="K426" s="56">
        <v>72520</v>
      </c>
      <c r="L426" s="57">
        <v>3</v>
      </c>
      <c r="M426" s="62">
        <f>ROUND(K426*P424+K426,0)</f>
        <v>72520</v>
      </c>
      <c r="N426" s="103"/>
      <c r="O426" s="48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</row>
    <row r="427" spans="1:34" s="87" customFormat="1" x14ac:dyDescent="0.25">
      <c r="A427" s="42" t="s">
        <v>393</v>
      </c>
      <c r="B427" s="49" t="s">
        <v>266</v>
      </c>
      <c r="C427" s="42" t="s">
        <v>391</v>
      </c>
      <c r="D427" s="105">
        <v>707882019</v>
      </c>
      <c r="E427" s="105">
        <v>2523373445</v>
      </c>
      <c r="F427" s="42" t="s">
        <v>247</v>
      </c>
      <c r="G427" s="84">
        <f>35796+(364+182)</f>
        <v>36342</v>
      </c>
      <c r="H427" s="53" t="str">
        <f>CHOOSE(MONTH(G427),"Jan","Feb","Mar","Apr","May","Jun","Jul","Aug","Sep","Oct","Nov","Dec")</f>
        <v>Jul</v>
      </c>
      <c r="I427" s="54">
        <f ca="1">DATEDIF(G427,TODAY(),"Y")</f>
        <v>17</v>
      </c>
      <c r="J427" s="55"/>
      <c r="K427" s="56">
        <v>86970</v>
      </c>
      <c r="L427" s="57">
        <v>4</v>
      </c>
      <c r="M427" s="62">
        <f>ROUND(K427*P425+K427,0)</f>
        <v>86970</v>
      </c>
      <c r="N427" s="103"/>
      <c r="O427" s="48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</row>
    <row r="428" spans="1:34" s="87" customFormat="1" x14ac:dyDescent="0.25">
      <c r="A428" s="42" t="s">
        <v>572</v>
      </c>
      <c r="B428" s="49" t="s">
        <v>266</v>
      </c>
      <c r="C428" s="42" t="s">
        <v>465</v>
      </c>
      <c r="D428" s="105">
        <v>596641549</v>
      </c>
      <c r="E428" s="105">
        <v>9196194175</v>
      </c>
      <c r="F428" s="42" t="s">
        <v>247</v>
      </c>
      <c r="G428" s="84">
        <f>35804+(364+182)</f>
        <v>36350</v>
      </c>
      <c r="H428" s="53" t="str">
        <f>CHOOSE(MONTH(G428),"Jan","Feb","Mar","Apr","May","Jun","Jul","Aug","Sep","Oct","Nov","Dec")</f>
        <v>Jul</v>
      </c>
      <c r="I428" s="54">
        <f ca="1">DATEDIF(G428,TODAY(),"Y")</f>
        <v>17</v>
      </c>
      <c r="J428" s="55"/>
      <c r="K428" s="56">
        <v>27380</v>
      </c>
      <c r="L428" s="57">
        <v>3</v>
      </c>
      <c r="M428" s="62">
        <f>ROUND(K428*P426+K428,0)</f>
        <v>27380</v>
      </c>
      <c r="N428" s="103"/>
      <c r="O428" s="48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</row>
    <row r="429" spans="1:34" s="87" customFormat="1" x14ac:dyDescent="0.25">
      <c r="A429" s="42" t="s">
        <v>408</v>
      </c>
      <c r="B429" s="49" t="s">
        <v>271</v>
      </c>
      <c r="C429" s="42" t="s">
        <v>391</v>
      </c>
      <c r="D429" s="105">
        <v>907491320</v>
      </c>
      <c r="E429" s="105">
        <v>2525724528</v>
      </c>
      <c r="F429" s="42" t="s">
        <v>261</v>
      </c>
      <c r="G429" s="84">
        <f>35811+(364+182)</f>
        <v>36357</v>
      </c>
      <c r="H429" s="53" t="str">
        <f>CHOOSE(MONTH(G429),"Jan","Feb","Mar","Apr","May","Jun","Jul","Aug","Sep","Oct","Nov","Dec")</f>
        <v>Jul</v>
      </c>
      <c r="I429" s="54">
        <f ca="1">DATEDIF(G429,TODAY(),"Y")</f>
        <v>17</v>
      </c>
      <c r="J429" s="55" t="s">
        <v>276</v>
      </c>
      <c r="K429" s="56">
        <v>42905</v>
      </c>
      <c r="L429" s="57">
        <v>1</v>
      </c>
      <c r="M429" s="62">
        <f>ROUND(K429*P427+K429,0)</f>
        <v>42905</v>
      </c>
      <c r="N429" s="103"/>
      <c r="O429" s="48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</row>
    <row r="430" spans="1:34" s="87" customFormat="1" x14ac:dyDescent="0.25">
      <c r="A430" s="42" t="s">
        <v>562</v>
      </c>
      <c r="B430" s="49" t="s">
        <v>285</v>
      </c>
      <c r="C430" s="42" t="s">
        <v>465</v>
      </c>
      <c r="D430" s="105">
        <v>110547055</v>
      </c>
      <c r="E430" s="105">
        <v>2526966637</v>
      </c>
      <c r="F430" s="42" t="s">
        <v>261</v>
      </c>
      <c r="G430" s="84">
        <f>35814+(364+182)</f>
        <v>36360</v>
      </c>
      <c r="H430" s="53" t="str">
        <f>CHOOSE(MONTH(G430),"Jan","Feb","Mar","Apr","May","Jun","Jul","Aug","Sep","Oct","Nov","Dec")</f>
        <v>Jul</v>
      </c>
      <c r="I430" s="54">
        <f ca="1">DATEDIF(G430,TODAY(),"Y")</f>
        <v>17</v>
      </c>
      <c r="J430" s="55" t="s">
        <v>283</v>
      </c>
      <c r="K430" s="56">
        <v>11065</v>
      </c>
      <c r="L430" s="57">
        <v>1</v>
      </c>
      <c r="M430" s="62">
        <f>ROUND(K430*P428+K430,0)</f>
        <v>11065</v>
      </c>
      <c r="N430" s="103"/>
      <c r="O430" s="48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</row>
    <row r="431" spans="1:34" s="87" customFormat="1" x14ac:dyDescent="0.25">
      <c r="A431" s="42" t="s">
        <v>913</v>
      </c>
      <c r="B431" s="49" t="s">
        <v>245</v>
      </c>
      <c r="C431" s="42" t="s">
        <v>856</v>
      </c>
      <c r="D431" s="105">
        <v>288741910</v>
      </c>
      <c r="E431" s="105">
        <v>2522842668</v>
      </c>
      <c r="F431" s="42" t="s">
        <v>256</v>
      </c>
      <c r="G431" s="84">
        <f>35814+(364+182)</f>
        <v>36360</v>
      </c>
      <c r="H431" s="53" t="str">
        <f>CHOOSE(MONTH(G431),"Jan","Feb","Mar","Apr","May","Jun","Jul","Aug","Sep","Oct","Nov","Dec")</f>
        <v>Jul</v>
      </c>
      <c r="I431" s="54">
        <f ca="1">DATEDIF(G431,TODAY(),"Y")</f>
        <v>17</v>
      </c>
      <c r="J431" s="55" t="s">
        <v>283</v>
      </c>
      <c r="K431" s="56">
        <v>67020</v>
      </c>
      <c r="L431" s="57">
        <v>1</v>
      </c>
      <c r="M431" s="62">
        <f>ROUND(K431*P429+K431,0)</f>
        <v>67020</v>
      </c>
      <c r="N431" s="103"/>
      <c r="O431" s="48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</row>
    <row r="432" spans="1:34" s="87" customFormat="1" x14ac:dyDescent="0.25">
      <c r="A432" s="42" t="s">
        <v>997</v>
      </c>
      <c r="B432" s="49" t="s">
        <v>251</v>
      </c>
      <c r="C432" s="42" t="s">
        <v>930</v>
      </c>
      <c r="D432" s="105">
        <v>900160539</v>
      </c>
      <c r="E432" s="105">
        <v>2522749909</v>
      </c>
      <c r="F432" s="42" t="s">
        <v>261</v>
      </c>
      <c r="G432" s="84">
        <f>35819+(364+182)</f>
        <v>36365</v>
      </c>
      <c r="H432" s="53" t="str">
        <f>CHOOSE(MONTH(G432),"Jan","Feb","Mar","Apr","May","Jun","Jul","Aug","Sep","Oct","Nov","Dec")</f>
        <v>Jul</v>
      </c>
      <c r="I432" s="54">
        <f ca="1">DATEDIF(G432,TODAY(),"Y")</f>
        <v>17</v>
      </c>
      <c r="J432" s="55" t="s">
        <v>267</v>
      </c>
      <c r="K432" s="56">
        <v>19825</v>
      </c>
      <c r="L432" s="57">
        <v>2</v>
      </c>
      <c r="M432" s="62">
        <f>ROUND(K432*P430+K432,0)</f>
        <v>19825</v>
      </c>
      <c r="N432" s="103"/>
      <c r="O432" s="48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</row>
    <row r="433" spans="1:34" s="87" customFormat="1" x14ac:dyDescent="0.25">
      <c r="A433" s="42" t="s">
        <v>667</v>
      </c>
      <c r="B433" s="49" t="s">
        <v>280</v>
      </c>
      <c r="C433" s="42" t="s">
        <v>626</v>
      </c>
      <c r="D433" s="105">
        <v>357081517</v>
      </c>
      <c r="E433" s="105">
        <v>2527660273</v>
      </c>
      <c r="F433" s="42" t="s">
        <v>261</v>
      </c>
      <c r="G433" s="84">
        <f>35825+(364+182)</f>
        <v>36371</v>
      </c>
      <c r="H433" s="53" t="str">
        <f>CHOOSE(MONTH(G433),"Jan","Feb","Mar","Apr","May","Jun","Jul","Aug","Sep","Oct","Nov","Dec")</f>
        <v>Jul</v>
      </c>
      <c r="I433" s="54">
        <f ca="1">DATEDIF(G433,TODAY(),"Y")</f>
        <v>17</v>
      </c>
      <c r="J433" s="55" t="s">
        <v>283</v>
      </c>
      <c r="K433" s="56">
        <v>26790</v>
      </c>
      <c r="L433" s="57">
        <v>2</v>
      </c>
      <c r="M433" s="62">
        <f>ROUND(K433*P431+K433,0)</f>
        <v>26790</v>
      </c>
      <c r="N433" s="103"/>
      <c r="O433" s="48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</row>
    <row r="434" spans="1:34" s="87" customFormat="1" x14ac:dyDescent="0.25">
      <c r="A434" s="42" t="s">
        <v>534</v>
      </c>
      <c r="B434" s="49" t="s">
        <v>285</v>
      </c>
      <c r="C434" s="42" t="s">
        <v>465</v>
      </c>
      <c r="D434" s="105">
        <v>130619578</v>
      </c>
      <c r="E434" s="105">
        <v>9195057530</v>
      </c>
      <c r="F434" s="42" t="s">
        <v>247</v>
      </c>
      <c r="G434" s="84">
        <f>36172+(364+182)</f>
        <v>36718</v>
      </c>
      <c r="H434" s="53" t="str">
        <f>CHOOSE(MONTH(G434),"Jan","Feb","Mar","Apr","May","Jun","Jul","Aug","Sep","Oct","Nov","Dec")</f>
        <v>Jul</v>
      </c>
      <c r="I434" s="54">
        <f ca="1">DATEDIF(G434,TODAY(),"Y")</f>
        <v>16</v>
      </c>
      <c r="J434" s="55"/>
      <c r="K434" s="56">
        <v>89520</v>
      </c>
      <c r="L434" s="57">
        <v>5</v>
      </c>
      <c r="M434" s="62">
        <f>ROUND(K434*P432+K434,0)</f>
        <v>89520</v>
      </c>
      <c r="N434" s="103"/>
      <c r="O434" s="48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</row>
    <row r="435" spans="1:34" s="87" customFormat="1" x14ac:dyDescent="0.25">
      <c r="A435" s="42" t="s">
        <v>545</v>
      </c>
      <c r="B435" s="49" t="s">
        <v>285</v>
      </c>
      <c r="C435" s="42" t="s">
        <v>465</v>
      </c>
      <c r="D435" s="105">
        <v>251824309</v>
      </c>
      <c r="E435" s="105">
        <v>9197950668</v>
      </c>
      <c r="F435" s="42" t="s">
        <v>247</v>
      </c>
      <c r="G435" s="84">
        <f>36183+(364+182)</f>
        <v>36729</v>
      </c>
      <c r="H435" s="53" t="str">
        <f>CHOOSE(MONTH(G435),"Jan","Feb","Mar","Apr","May","Jun","Jul","Aug","Sep","Oct","Nov","Dec")</f>
        <v>Jul</v>
      </c>
      <c r="I435" s="54">
        <f ca="1">DATEDIF(G435,TODAY(),"Y")</f>
        <v>16</v>
      </c>
      <c r="J435" s="55"/>
      <c r="K435" s="56">
        <v>45420</v>
      </c>
      <c r="L435" s="57">
        <v>1</v>
      </c>
      <c r="M435" s="62">
        <f>ROUND(K435*P433+K435,0)</f>
        <v>45420</v>
      </c>
      <c r="N435" s="103"/>
      <c r="O435" s="48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</row>
    <row r="436" spans="1:34" s="87" customFormat="1" x14ac:dyDescent="0.25">
      <c r="A436" s="42" t="s">
        <v>1027</v>
      </c>
      <c r="B436" s="49" t="s">
        <v>245</v>
      </c>
      <c r="C436" s="42" t="s">
        <v>1025</v>
      </c>
      <c r="D436" s="105">
        <v>797985708</v>
      </c>
      <c r="E436" s="105">
        <v>9193578185</v>
      </c>
      <c r="F436" s="42" t="s">
        <v>256</v>
      </c>
      <c r="G436" s="84">
        <f>36527+(364+182)</f>
        <v>37073</v>
      </c>
      <c r="H436" s="53" t="str">
        <f>CHOOSE(MONTH(G436),"Jan","Feb","Mar","Apr","May","Jun","Jul","Aug","Sep","Oct","Nov","Dec")</f>
        <v>Jul</v>
      </c>
      <c r="I436" s="54">
        <f ca="1">DATEDIF(G436,TODAY(),"Y")</f>
        <v>15</v>
      </c>
      <c r="J436" s="55" t="s">
        <v>276</v>
      </c>
      <c r="K436" s="56">
        <v>40680</v>
      </c>
      <c r="L436" s="57">
        <v>5</v>
      </c>
      <c r="M436" s="62">
        <f>ROUND(K436*P434+K436,0)</f>
        <v>40680</v>
      </c>
      <c r="N436" s="103"/>
      <c r="O436" s="48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</row>
    <row r="437" spans="1:34" s="87" customFormat="1" x14ac:dyDescent="0.25">
      <c r="A437" s="42" t="s">
        <v>926</v>
      </c>
      <c r="B437" s="49" t="s">
        <v>251</v>
      </c>
      <c r="C437" s="42" t="s">
        <v>856</v>
      </c>
      <c r="D437" s="105">
        <v>368385341</v>
      </c>
      <c r="E437" s="105">
        <v>9195526537</v>
      </c>
      <c r="F437" s="42" t="s">
        <v>247</v>
      </c>
      <c r="G437" s="84">
        <f>36536+(364+182)</f>
        <v>37082</v>
      </c>
      <c r="H437" s="53" t="str">
        <f>CHOOSE(MONTH(G437),"Jan","Feb","Mar","Apr","May","Jun","Jul","Aug","Sep","Oct","Nov","Dec")</f>
        <v>Jul</v>
      </c>
      <c r="I437" s="54">
        <f ca="1">DATEDIF(G437,TODAY(),"Y")</f>
        <v>15</v>
      </c>
      <c r="J437" s="55"/>
      <c r="K437" s="56">
        <v>46780</v>
      </c>
      <c r="L437" s="57">
        <v>2</v>
      </c>
      <c r="M437" s="62">
        <f>ROUND(K437*P435+K437,0)</f>
        <v>46780</v>
      </c>
      <c r="N437" s="103"/>
      <c r="O437" s="48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</row>
    <row r="438" spans="1:34" s="87" customFormat="1" x14ac:dyDescent="0.25">
      <c r="A438" s="42" t="s">
        <v>975</v>
      </c>
      <c r="B438" s="49" t="s">
        <v>271</v>
      </c>
      <c r="C438" s="42" t="s">
        <v>930</v>
      </c>
      <c r="D438" s="105">
        <v>916944119</v>
      </c>
      <c r="E438" s="105">
        <v>2524907564</v>
      </c>
      <c r="F438" s="42" t="s">
        <v>247</v>
      </c>
      <c r="G438" s="111">
        <f>36553+(364+182)</f>
        <v>37099</v>
      </c>
      <c r="H438" s="53" t="str">
        <f>CHOOSE(MONTH(G438),"Jan","Feb","Mar","Apr","May","Jun","Jul","Aug","Sep","Oct","Nov","Dec")</f>
        <v>Jul</v>
      </c>
      <c r="I438" s="54">
        <f ca="1">DATEDIF(G438,TODAY(),"Y")</f>
        <v>15</v>
      </c>
      <c r="J438" s="55"/>
      <c r="K438" s="56">
        <v>28270</v>
      </c>
      <c r="L438" s="57">
        <v>5</v>
      </c>
      <c r="M438" s="62">
        <f>ROUND(K438*P436+K438,0)</f>
        <v>28270</v>
      </c>
      <c r="N438" s="103"/>
      <c r="O438" s="48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</row>
    <row r="439" spans="1:34" s="87" customFormat="1" x14ac:dyDescent="0.25">
      <c r="A439" s="42" t="s">
        <v>1005</v>
      </c>
      <c r="B439" s="49" t="s">
        <v>266</v>
      </c>
      <c r="C439" s="42" t="s">
        <v>930</v>
      </c>
      <c r="D439" s="105">
        <v>626648632</v>
      </c>
      <c r="E439" s="105">
        <v>2526412482</v>
      </c>
      <c r="F439" s="42" t="s">
        <v>247</v>
      </c>
      <c r="G439" s="84">
        <f>36907+(364+182)</f>
        <v>37453</v>
      </c>
      <c r="H439" s="53" t="str">
        <f>CHOOSE(MONTH(G439),"Jan","Feb","Mar","Apr","May","Jun","Jul","Aug","Sep","Oct","Nov","Dec")</f>
        <v>Jul</v>
      </c>
      <c r="I439" s="54">
        <f ca="1">DATEDIF(G439,TODAY(),"Y")</f>
        <v>14</v>
      </c>
      <c r="J439" s="55"/>
      <c r="K439" s="56">
        <v>49090</v>
      </c>
      <c r="L439" s="57">
        <v>4</v>
      </c>
      <c r="M439" s="62">
        <f>ROUND(K439*P437+K439,0)</f>
        <v>49090</v>
      </c>
      <c r="N439" s="103"/>
      <c r="O439" s="48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</row>
    <row r="440" spans="1:34" s="87" customFormat="1" x14ac:dyDescent="0.25">
      <c r="A440" s="42" t="s">
        <v>689</v>
      </c>
      <c r="B440" s="49" t="s">
        <v>285</v>
      </c>
      <c r="C440" s="42" t="s">
        <v>678</v>
      </c>
      <c r="D440" s="105">
        <v>167646549</v>
      </c>
      <c r="E440" s="105">
        <v>9197187041</v>
      </c>
      <c r="F440" s="42" t="s">
        <v>247</v>
      </c>
      <c r="G440" s="84">
        <f>37257+(364+182)</f>
        <v>37803</v>
      </c>
      <c r="H440" s="53" t="str">
        <f>CHOOSE(MONTH(G440),"Jan","Feb","Mar","Apr","May","Jun","Jul","Aug","Sep","Oct","Nov","Dec")</f>
        <v>Jul</v>
      </c>
      <c r="I440" s="54">
        <f ca="1">DATEDIF(G440,TODAY(),"Y")</f>
        <v>13</v>
      </c>
      <c r="J440" s="55"/>
      <c r="K440" s="56">
        <v>78100</v>
      </c>
      <c r="L440" s="57">
        <v>3</v>
      </c>
      <c r="M440" s="62">
        <f>ROUND(K440*P438+K440,0)</f>
        <v>78100</v>
      </c>
      <c r="N440" s="103"/>
      <c r="O440" s="48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</row>
    <row r="441" spans="1:34" s="87" customFormat="1" x14ac:dyDescent="0.25">
      <c r="A441" s="42" t="s">
        <v>946</v>
      </c>
      <c r="B441" s="49" t="s">
        <v>285</v>
      </c>
      <c r="C441" s="42" t="s">
        <v>930</v>
      </c>
      <c r="D441" s="105">
        <v>177324163</v>
      </c>
      <c r="E441" s="105">
        <v>2527091949</v>
      </c>
      <c r="F441" s="42" t="s">
        <v>256</v>
      </c>
      <c r="G441" s="84">
        <f>37264+(364+182)</f>
        <v>37810</v>
      </c>
      <c r="H441" s="53" t="str">
        <f>CHOOSE(MONTH(G441),"Jan","Feb","Mar","Apr","May","Jun","Jul","Aug","Sep","Oct","Nov","Dec")</f>
        <v>Jul</v>
      </c>
      <c r="I441" s="54">
        <f ca="1">DATEDIF(G441,TODAY(),"Y")</f>
        <v>13</v>
      </c>
      <c r="J441" s="55" t="s">
        <v>283</v>
      </c>
      <c r="K441" s="56">
        <v>48010</v>
      </c>
      <c r="L441" s="57">
        <v>3</v>
      </c>
      <c r="M441" s="62">
        <f>ROUND(K441*P439+K441,0)</f>
        <v>48010</v>
      </c>
      <c r="N441" s="103"/>
      <c r="O441" s="48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</row>
    <row r="442" spans="1:34" s="87" customFormat="1" x14ac:dyDescent="0.25">
      <c r="A442" s="42" t="s">
        <v>881</v>
      </c>
      <c r="B442" s="49" t="s">
        <v>280</v>
      </c>
      <c r="C442" s="42" t="s">
        <v>856</v>
      </c>
      <c r="D442" s="105">
        <v>614562070</v>
      </c>
      <c r="E442" s="105">
        <v>9192485673</v>
      </c>
      <c r="F442" s="42" t="s">
        <v>261</v>
      </c>
      <c r="G442" s="84">
        <f>37269+(364+182)</f>
        <v>37815</v>
      </c>
      <c r="H442" s="53" t="str">
        <f>CHOOSE(MONTH(G442),"Jan","Feb","Mar","Apr","May","Jun","Jul","Aug","Sep","Oct","Nov","Dec")</f>
        <v>Jul</v>
      </c>
      <c r="I442" s="54">
        <f ca="1">DATEDIF(G442,TODAY(),"Y")</f>
        <v>13</v>
      </c>
      <c r="J442" s="55" t="s">
        <v>257</v>
      </c>
      <c r="K442" s="56">
        <v>48740</v>
      </c>
      <c r="L442" s="57">
        <v>1</v>
      </c>
      <c r="M442" s="62">
        <f>ROUND(K442*P440+K442,0)</f>
        <v>48740</v>
      </c>
      <c r="N442" s="103"/>
      <c r="O442" s="48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</row>
    <row r="443" spans="1:34" s="87" customFormat="1" x14ac:dyDescent="0.25">
      <c r="A443" s="42" t="s">
        <v>493</v>
      </c>
      <c r="B443" s="49" t="s">
        <v>266</v>
      </c>
      <c r="C443" s="42" t="s">
        <v>465</v>
      </c>
      <c r="D443" s="105">
        <v>143534593</v>
      </c>
      <c r="E443" s="105">
        <v>2527172882</v>
      </c>
      <c r="F443" s="42" t="s">
        <v>247</v>
      </c>
      <c r="G443" s="84">
        <f>37274+(364+182)</f>
        <v>37820</v>
      </c>
      <c r="H443" s="53" t="str">
        <f>CHOOSE(MONTH(G443),"Jan","Feb","Mar","Apr","May","Jun","Jul","Aug","Sep","Oct","Nov","Dec")</f>
        <v>Jul</v>
      </c>
      <c r="I443" s="54">
        <f ca="1">DATEDIF(G443,TODAY(),"Y")</f>
        <v>13</v>
      </c>
      <c r="J443" s="55"/>
      <c r="K443" s="56">
        <v>75420</v>
      </c>
      <c r="L443" s="57">
        <v>1</v>
      </c>
      <c r="M443" s="62">
        <f>ROUND(K443*P441+K443,0)</f>
        <v>75420</v>
      </c>
      <c r="N443" s="103"/>
      <c r="O443" s="48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</row>
    <row r="444" spans="1:34" s="87" customFormat="1" x14ac:dyDescent="0.25">
      <c r="A444" s="42" t="s">
        <v>683</v>
      </c>
      <c r="B444" s="49" t="s">
        <v>266</v>
      </c>
      <c r="C444" s="42" t="s">
        <v>678</v>
      </c>
      <c r="D444" s="105">
        <v>917195248</v>
      </c>
      <c r="E444" s="105">
        <v>9194605984</v>
      </c>
      <c r="F444" s="42" t="s">
        <v>252</v>
      </c>
      <c r="G444" s="84">
        <f>37281+(364+182)</f>
        <v>37827</v>
      </c>
      <c r="H444" s="53" t="str">
        <f>CHOOSE(MONTH(G444),"Jan","Feb","Mar","Apr","May","Jun","Jul","Aug","Sep","Oct","Nov","Dec")</f>
        <v>Jul</v>
      </c>
      <c r="I444" s="54">
        <f ca="1">DATEDIF(G444,TODAY(),"Y")</f>
        <v>13</v>
      </c>
      <c r="J444" s="55"/>
      <c r="K444" s="56">
        <v>11044</v>
      </c>
      <c r="L444" s="57">
        <v>2</v>
      </c>
      <c r="M444" s="62">
        <f>ROUND(K444*P442+K444,0)</f>
        <v>11044</v>
      </c>
      <c r="N444" s="103"/>
      <c r="O444" s="48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</row>
    <row r="445" spans="1:34" s="87" customFormat="1" x14ac:dyDescent="0.25">
      <c r="A445" s="42" t="s">
        <v>833</v>
      </c>
      <c r="B445" s="49" t="s">
        <v>285</v>
      </c>
      <c r="C445" s="42" t="s">
        <v>767</v>
      </c>
      <c r="D445" s="105">
        <v>115404531</v>
      </c>
      <c r="E445" s="105">
        <v>2522636321</v>
      </c>
      <c r="F445" s="42" t="s">
        <v>261</v>
      </c>
      <c r="G445" s="111">
        <f>37627+(364+182)</f>
        <v>38173</v>
      </c>
      <c r="H445" s="53" t="str">
        <f>CHOOSE(MONTH(G445),"Jan","Feb","Mar","Apr","May","Jun","Jul","Aug","Sep","Oct","Nov","Dec")</f>
        <v>Jul</v>
      </c>
      <c r="I445" s="54">
        <f ca="1">DATEDIF(G445,TODAY(),"Y")</f>
        <v>12</v>
      </c>
      <c r="J445" s="55" t="s">
        <v>283</v>
      </c>
      <c r="K445" s="56">
        <v>32900</v>
      </c>
      <c r="L445" s="57">
        <v>2</v>
      </c>
      <c r="M445" s="62">
        <f>ROUND(K445*P443+K445,0)</f>
        <v>32900</v>
      </c>
      <c r="N445" s="103"/>
      <c r="O445" s="48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</row>
    <row r="446" spans="1:34" s="87" customFormat="1" x14ac:dyDescent="0.25">
      <c r="A446" s="42" t="s">
        <v>496</v>
      </c>
      <c r="B446" s="49" t="s">
        <v>245</v>
      </c>
      <c r="C446" s="42" t="s">
        <v>465</v>
      </c>
      <c r="D446" s="105">
        <v>470935648</v>
      </c>
      <c r="E446" s="105">
        <v>9192053579</v>
      </c>
      <c r="F446" s="42" t="s">
        <v>247</v>
      </c>
      <c r="G446" s="84">
        <f>37991+(364+182)</f>
        <v>38537</v>
      </c>
      <c r="H446" s="53" t="str">
        <f>CHOOSE(MONTH(G446),"Jan","Feb","Mar","Apr","May","Jun","Jul","Aug","Sep","Oct","Nov","Dec")</f>
        <v>Jul</v>
      </c>
      <c r="I446" s="54">
        <f ca="1">DATEDIF(G446,TODAY(),"Y")</f>
        <v>11</v>
      </c>
      <c r="J446" s="55"/>
      <c r="K446" s="56">
        <v>39680</v>
      </c>
      <c r="L446" s="57">
        <v>1</v>
      </c>
      <c r="M446" s="62">
        <f>ROUND(K446*P444+K446,0)</f>
        <v>39680</v>
      </c>
      <c r="N446" s="103"/>
      <c r="O446" s="48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</row>
    <row r="447" spans="1:34" s="87" customFormat="1" x14ac:dyDescent="0.25">
      <c r="A447" s="42" t="s">
        <v>923</v>
      </c>
      <c r="B447" s="49" t="s">
        <v>285</v>
      </c>
      <c r="C447" s="42" t="s">
        <v>856</v>
      </c>
      <c r="D447" s="105">
        <v>647131956</v>
      </c>
      <c r="E447" s="105">
        <v>2521240785</v>
      </c>
      <c r="F447" s="42" t="s">
        <v>256</v>
      </c>
      <c r="G447" s="84">
        <f>38356+(364+182)</f>
        <v>38902</v>
      </c>
      <c r="H447" s="53" t="str">
        <f>CHOOSE(MONTH(G447),"Jan","Feb","Mar","Apr","May","Jun","Jul","Aug","Sep","Oct","Nov","Dec")</f>
        <v>Jul</v>
      </c>
      <c r="I447" s="54">
        <f ca="1">DATEDIF(G447,TODAY(),"Y")</f>
        <v>10</v>
      </c>
      <c r="J447" s="55" t="s">
        <v>257</v>
      </c>
      <c r="K447" s="56">
        <v>73560</v>
      </c>
      <c r="L447" s="57">
        <v>3</v>
      </c>
      <c r="M447" s="62">
        <f>ROUND(K447*P445+K447,0)</f>
        <v>73560</v>
      </c>
      <c r="N447" s="103"/>
      <c r="O447" s="48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</row>
    <row r="448" spans="1:34" s="87" customFormat="1" x14ac:dyDescent="0.25">
      <c r="A448" s="42" t="s">
        <v>511</v>
      </c>
      <c r="B448" s="49" t="s">
        <v>251</v>
      </c>
      <c r="C448" s="42" t="s">
        <v>465</v>
      </c>
      <c r="D448" s="105">
        <v>240272873</v>
      </c>
      <c r="E448" s="105">
        <v>9198912054</v>
      </c>
      <c r="F448" s="42" t="s">
        <v>247</v>
      </c>
      <c r="G448" s="84">
        <f>38366+(364+182)</f>
        <v>38912</v>
      </c>
      <c r="H448" s="53" t="str">
        <f>CHOOSE(MONTH(G448),"Jan","Feb","Mar","Apr","May","Jun","Jul","Aug","Sep","Oct","Nov","Dec")</f>
        <v>Jul</v>
      </c>
      <c r="I448" s="54">
        <f ca="1">DATEDIF(G448,TODAY(),"Y")</f>
        <v>10</v>
      </c>
      <c r="J448" s="55"/>
      <c r="K448" s="56">
        <v>80330</v>
      </c>
      <c r="L448" s="57">
        <v>4</v>
      </c>
      <c r="M448" s="62">
        <f>ROUND(K448*P446+K448,0)</f>
        <v>80330</v>
      </c>
      <c r="N448" s="103"/>
      <c r="O448" s="48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</row>
    <row r="449" spans="1:34" s="87" customFormat="1" x14ac:dyDescent="0.25">
      <c r="A449" s="42" t="s">
        <v>723</v>
      </c>
      <c r="B449" s="49" t="s">
        <v>285</v>
      </c>
      <c r="C449" s="42" t="s">
        <v>705</v>
      </c>
      <c r="D449" s="105">
        <v>619465100</v>
      </c>
      <c r="E449" s="105">
        <v>9194629606</v>
      </c>
      <c r="F449" s="42" t="s">
        <v>256</v>
      </c>
      <c r="G449" s="84">
        <f>38370+(364+182)</f>
        <v>38916</v>
      </c>
      <c r="H449" s="53" t="str">
        <f>CHOOSE(MONTH(G449),"Jan","Feb","Mar","Apr","May","Jun","Jul","Aug","Sep","Oct","Nov","Dec")</f>
        <v>Jul</v>
      </c>
      <c r="I449" s="54">
        <f ca="1">DATEDIF(G449,TODAY(),"Y")</f>
        <v>10</v>
      </c>
      <c r="J449" s="55" t="s">
        <v>262</v>
      </c>
      <c r="K449" s="56">
        <v>27560</v>
      </c>
      <c r="L449" s="57">
        <v>2</v>
      </c>
      <c r="M449" s="62">
        <f>ROUND(K449*P447+K449,0)</f>
        <v>27560</v>
      </c>
      <c r="N449" s="103"/>
      <c r="O449" s="48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</row>
    <row r="450" spans="1:34" s="87" customFormat="1" x14ac:dyDescent="0.25">
      <c r="A450" s="42" t="s">
        <v>656</v>
      </c>
      <c r="B450" s="49" t="s">
        <v>271</v>
      </c>
      <c r="C450" s="42" t="s">
        <v>626</v>
      </c>
      <c r="D450" s="105">
        <v>400260342</v>
      </c>
      <c r="E450" s="105">
        <v>9196798743</v>
      </c>
      <c r="F450" s="42" t="s">
        <v>247</v>
      </c>
      <c r="G450" s="84">
        <f>38737+(364+182)</f>
        <v>39283</v>
      </c>
      <c r="H450" s="53" t="str">
        <f>CHOOSE(MONTH(G450),"Jan","Feb","Mar","Apr","May","Jun","Jul","Aug","Sep","Oct","Nov","Dec")</f>
        <v>Jul</v>
      </c>
      <c r="I450" s="54">
        <f ca="1">DATEDIF(G450,TODAY(),"Y")</f>
        <v>9</v>
      </c>
      <c r="J450" s="55"/>
      <c r="K450" s="56">
        <v>74470</v>
      </c>
      <c r="L450" s="57">
        <v>3</v>
      </c>
      <c r="M450" s="62">
        <f>ROUND(K450*P448+K450,0)</f>
        <v>74470</v>
      </c>
      <c r="N450" s="103"/>
      <c r="O450" s="48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</row>
    <row r="451" spans="1:34" s="87" customFormat="1" x14ac:dyDescent="0.25">
      <c r="A451" s="42" t="s">
        <v>940</v>
      </c>
      <c r="B451" s="49" t="s">
        <v>285</v>
      </c>
      <c r="C451" s="42" t="s">
        <v>930</v>
      </c>
      <c r="D451" s="105">
        <v>771110153</v>
      </c>
      <c r="E451" s="105">
        <v>9196799516</v>
      </c>
      <c r="F451" s="42" t="s">
        <v>256</v>
      </c>
      <c r="G451" s="84">
        <f>38737+(364+182)</f>
        <v>39283</v>
      </c>
      <c r="H451" s="53" t="str">
        <f>CHOOSE(MONTH(G451),"Jan","Feb","Mar","Apr","May","Jun","Jul","Aug","Sep","Oct","Nov","Dec")</f>
        <v>Jul</v>
      </c>
      <c r="I451" s="54">
        <f ca="1">DATEDIF(G451,TODAY(),"Y")</f>
        <v>9</v>
      </c>
      <c r="J451" s="55" t="s">
        <v>257</v>
      </c>
      <c r="K451" s="56">
        <v>24980</v>
      </c>
      <c r="L451" s="57">
        <v>3</v>
      </c>
      <c r="M451" s="62">
        <f>ROUND(K451*P449+K451,0)</f>
        <v>24980</v>
      </c>
      <c r="N451" s="103"/>
      <c r="O451" s="48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</row>
    <row r="452" spans="1:34" s="87" customFormat="1" x14ac:dyDescent="0.25">
      <c r="A452" s="42" t="s">
        <v>729</v>
      </c>
      <c r="B452" s="49" t="s">
        <v>245</v>
      </c>
      <c r="C452" s="42" t="s">
        <v>705</v>
      </c>
      <c r="D452" s="105">
        <v>847051774</v>
      </c>
      <c r="E452" s="105">
        <v>2522881600</v>
      </c>
      <c r="F452" s="42" t="s">
        <v>256</v>
      </c>
      <c r="G452" s="84">
        <f>39111+(364+182)</f>
        <v>39657</v>
      </c>
      <c r="H452" s="53" t="str">
        <f>CHOOSE(MONTH(G452),"Jan","Feb","Mar","Apr","May","Jun","Jul","Aug","Sep","Oct","Nov","Dec")</f>
        <v>Jul</v>
      </c>
      <c r="I452" s="54">
        <f ca="1">DATEDIF(G452,TODAY(),"Y")</f>
        <v>8</v>
      </c>
      <c r="J452" s="55" t="s">
        <v>276</v>
      </c>
      <c r="K452" s="56">
        <v>80880</v>
      </c>
      <c r="L452" s="57">
        <v>1</v>
      </c>
      <c r="M452" s="62">
        <f>ROUND(K452*P450+K452,0)</f>
        <v>80880</v>
      </c>
      <c r="N452" s="103"/>
      <c r="O452" s="48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</row>
    <row r="453" spans="1:34" s="87" customFormat="1" x14ac:dyDescent="0.25">
      <c r="A453" s="42" t="s">
        <v>1021</v>
      </c>
      <c r="B453" s="49" t="s">
        <v>271</v>
      </c>
      <c r="C453" s="42" t="s">
        <v>930</v>
      </c>
      <c r="D453" s="105">
        <v>964255290</v>
      </c>
      <c r="E453" s="105">
        <v>9197446192</v>
      </c>
      <c r="F453" s="42" t="s">
        <v>256</v>
      </c>
      <c r="G453" s="84">
        <f>39472+(364+182)</f>
        <v>40018</v>
      </c>
      <c r="H453" s="53" t="str">
        <f>CHOOSE(MONTH(G453),"Jan","Feb","Mar","Apr","May","Jun","Jul","Aug","Sep","Oct","Nov","Dec")</f>
        <v>Jul</v>
      </c>
      <c r="I453" s="54">
        <f ca="1">DATEDIF(G453,TODAY(),"Y")</f>
        <v>7</v>
      </c>
      <c r="J453" s="55" t="s">
        <v>283</v>
      </c>
      <c r="K453" s="56">
        <v>34990</v>
      </c>
      <c r="L453" s="57">
        <v>3</v>
      </c>
      <c r="M453" s="62">
        <f>ROUND(K453*P451+K453,0)</f>
        <v>34990</v>
      </c>
      <c r="N453" s="103"/>
      <c r="O453" s="48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</row>
    <row r="454" spans="1:34" s="87" customFormat="1" x14ac:dyDescent="0.25">
      <c r="A454" s="42" t="s">
        <v>639</v>
      </c>
      <c r="B454" s="49" t="s">
        <v>271</v>
      </c>
      <c r="C454" s="42" t="s">
        <v>626</v>
      </c>
      <c r="D454" s="105">
        <v>168791562</v>
      </c>
      <c r="E454" s="105">
        <v>9194161772</v>
      </c>
      <c r="F454" s="42" t="s">
        <v>256</v>
      </c>
      <c r="G454" s="84">
        <f>39815+(364+182)</f>
        <v>40361</v>
      </c>
      <c r="H454" s="53" t="str">
        <f>CHOOSE(MONTH(G454),"Jan","Feb","Mar","Apr","May","Jun","Jul","Aug","Sep","Oct","Nov","Dec")</f>
        <v>Jul</v>
      </c>
      <c r="I454" s="54">
        <f ca="1">DATEDIF(G454,TODAY(),"Y")</f>
        <v>6</v>
      </c>
      <c r="J454" s="55" t="s">
        <v>267</v>
      </c>
      <c r="K454" s="56">
        <v>75780</v>
      </c>
      <c r="L454" s="57">
        <v>2</v>
      </c>
      <c r="M454" s="62">
        <f>ROUND(K454*P452+K454,0)</f>
        <v>75780</v>
      </c>
      <c r="N454" s="103"/>
      <c r="O454" s="48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</row>
    <row r="455" spans="1:34" s="87" customFormat="1" x14ac:dyDescent="0.25">
      <c r="A455" s="42" t="s">
        <v>710</v>
      </c>
      <c r="B455" s="49" t="s">
        <v>251</v>
      </c>
      <c r="C455" s="42" t="s">
        <v>705</v>
      </c>
      <c r="D455" s="105">
        <v>551132018</v>
      </c>
      <c r="E455" s="105">
        <v>2525796953</v>
      </c>
      <c r="F455" s="42" t="s">
        <v>256</v>
      </c>
      <c r="G455" s="84">
        <f>39824+(364+182)</f>
        <v>40370</v>
      </c>
      <c r="H455" s="53" t="str">
        <f>CHOOSE(MONTH(G455),"Jan","Feb","Mar","Apr","May","Jun","Jul","Aug","Sep","Oct","Nov","Dec")</f>
        <v>Jul</v>
      </c>
      <c r="I455" s="54">
        <f ca="1">DATEDIF(G455,TODAY(),"Y")</f>
        <v>6</v>
      </c>
      <c r="J455" s="55" t="s">
        <v>257</v>
      </c>
      <c r="K455" s="56">
        <v>66840</v>
      </c>
      <c r="L455" s="57">
        <v>4</v>
      </c>
      <c r="M455" s="62">
        <f>ROUND(K455*P453+K455,0)</f>
        <v>66840</v>
      </c>
      <c r="N455" s="103"/>
      <c r="O455" s="48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</row>
    <row r="456" spans="1:34" s="87" customFormat="1" x14ac:dyDescent="0.25">
      <c r="A456" s="42" t="s">
        <v>697</v>
      </c>
      <c r="B456" s="49" t="s">
        <v>271</v>
      </c>
      <c r="C456" s="42" t="s">
        <v>678</v>
      </c>
      <c r="D456" s="105">
        <v>397835298</v>
      </c>
      <c r="E456" s="105">
        <v>9196795200</v>
      </c>
      <c r="F456" s="42" t="s">
        <v>247</v>
      </c>
      <c r="G456" s="84">
        <f>39826+(364+182)</f>
        <v>40372</v>
      </c>
      <c r="H456" s="53" t="str">
        <f>CHOOSE(MONTH(G456),"Jan","Feb","Mar","Apr","May","Jun","Jul","Aug","Sep","Oct","Nov","Dec")</f>
        <v>Jul</v>
      </c>
      <c r="I456" s="54">
        <f ca="1">DATEDIF(G456,TODAY(),"Y")</f>
        <v>6</v>
      </c>
      <c r="J456" s="55"/>
      <c r="K456" s="56">
        <v>75100</v>
      </c>
      <c r="L456" s="57">
        <v>4</v>
      </c>
      <c r="M456" s="62">
        <f>ROUND(K456*P454+K456,0)</f>
        <v>75100</v>
      </c>
      <c r="N456" s="103"/>
      <c r="O456" s="48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</row>
    <row r="457" spans="1:34" s="87" customFormat="1" x14ac:dyDescent="0.25">
      <c r="A457" s="42" t="s">
        <v>1035</v>
      </c>
      <c r="B457" s="49" t="s">
        <v>251</v>
      </c>
      <c r="C457" s="42" t="s">
        <v>1031</v>
      </c>
      <c r="D457" s="105">
        <v>383616821</v>
      </c>
      <c r="E457" s="105">
        <v>2524989537</v>
      </c>
      <c r="F457" s="42" t="s">
        <v>256</v>
      </c>
      <c r="G457" s="84">
        <f>39838+(364+182)</f>
        <v>40384</v>
      </c>
      <c r="H457" s="53" t="str">
        <f>CHOOSE(MONTH(G457),"Jan","Feb","Mar","Apr","May","Jun","Jul","Aug","Sep","Oct","Nov","Dec")</f>
        <v>Jul</v>
      </c>
      <c r="I457" s="54">
        <f ca="1">DATEDIF(G457,TODAY(),"Y")</f>
        <v>6</v>
      </c>
      <c r="J457" s="55" t="s">
        <v>257</v>
      </c>
      <c r="K457" s="56">
        <v>46680</v>
      </c>
      <c r="L457" s="57">
        <v>1</v>
      </c>
      <c r="M457" s="62">
        <f>ROUND(K457*P455+K457,0)</f>
        <v>46680</v>
      </c>
      <c r="N457" s="103"/>
      <c r="O457" s="48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</row>
    <row r="458" spans="1:34" s="87" customFormat="1" x14ac:dyDescent="0.25">
      <c r="A458" s="42" t="s">
        <v>847</v>
      </c>
      <c r="B458" s="49" t="s">
        <v>271</v>
      </c>
      <c r="C458" s="42" t="s">
        <v>767</v>
      </c>
      <c r="D458" s="105">
        <v>456809622</v>
      </c>
      <c r="E458" s="105">
        <v>2523046338</v>
      </c>
      <c r="F458" s="42" t="s">
        <v>256</v>
      </c>
      <c r="G458" s="84">
        <f>32552+(364+182)</f>
        <v>33098</v>
      </c>
      <c r="H458" s="53" t="str">
        <f>CHOOSE(MONTH(G458),"Jan","Feb","Mar","Apr","May","Jun","Jul","Aug","Sep","Oct","Nov","Dec")</f>
        <v>Aug</v>
      </c>
      <c r="I458" s="54">
        <f ca="1">DATEDIF(G458,TODAY(),"Y")</f>
        <v>26</v>
      </c>
      <c r="J458" s="55" t="s">
        <v>257</v>
      </c>
      <c r="K458" s="56">
        <v>48080</v>
      </c>
      <c r="L458" s="57">
        <v>2</v>
      </c>
      <c r="M458" s="62">
        <f>ROUND(K458*P456+K458,0)</f>
        <v>48080</v>
      </c>
      <c r="N458" s="103"/>
      <c r="O458" s="48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</row>
    <row r="459" spans="1:34" s="87" customFormat="1" x14ac:dyDescent="0.25">
      <c r="A459" s="42" t="s">
        <v>754</v>
      </c>
      <c r="B459" s="49" t="s">
        <v>285</v>
      </c>
      <c r="C459" s="42" t="s">
        <v>750</v>
      </c>
      <c r="D459" s="105">
        <v>852430023</v>
      </c>
      <c r="E459" s="105">
        <v>9195506190</v>
      </c>
      <c r="F459" s="42" t="s">
        <v>261</v>
      </c>
      <c r="G459" s="84">
        <f>32566+(364+182)</f>
        <v>33112</v>
      </c>
      <c r="H459" s="53" t="str">
        <f>CHOOSE(MONTH(G459),"Jan","Feb","Mar","Apr","May","Jun","Jul","Aug","Sep","Oct","Nov","Dec")</f>
        <v>Aug</v>
      </c>
      <c r="I459" s="54">
        <f ca="1">DATEDIF(G459,TODAY(),"Y")</f>
        <v>26</v>
      </c>
      <c r="J459" s="55" t="s">
        <v>267</v>
      </c>
      <c r="K459" s="56">
        <v>24815</v>
      </c>
      <c r="L459" s="57">
        <v>1</v>
      </c>
      <c r="M459" s="62">
        <f>ROUND(K459*P457+K459,0)</f>
        <v>24815</v>
      </c>
      <c r="N459" s="103"/>
      <c r="O459" s="48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</row>
    <row r="460" spans="1:34" s="87" customFormat="1" x14ac:dyDescent="0.25">
      <c r="A460" s="42" t="s">
        <v>762</v>
      </c>
      <c r="B460" s="49" t="s">
        <v>271</v>
      </c>
      <c r="C460" s="42" t="s">
        <v>750</v>
      </c>
      <c r="D460" s="105">
        <v>134557291</v>
      </c>
      <c r="E460" s="105">
        <v>2525536623</v>
      </c>
      <c r="F460" s="42" t="s">
        <v>256</v>
      </c>
      <c r="G460" s="84">
        <f>32567+(364+182)</f>
        <v>33113</v>
      </c>
      <c r="H460" s="53" t="str">
        <f>CHOOSE(MONTH(G460),"Jan","Feb","Mar","Apr","May","Jun","Jul","Aug","Sep","Oct","Nov","Dec")</f>
        <v>Aug</v>
      </c>
      <c r="I460" s="54">
        <f ca="1">DATEDIF(G460,TODAY(),"Y")</f>
        <v>26</v>
      </c>
      <c r="J460" s="55" t="s">
        <v>257</v>
      </c>
      <c r="K460" s="56">
        <v>32600</v>
      </c>
      <c r="L460" s="57">
        <v>5</v>
      </c>
      <c r="M460" s="62">
        <f>ROUND(K460*P458+K460,0)</f>
        <v>32600</v>
      </c>
      <c r="N460" s="103"/>
      <c r="O460" s="48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</row>
    <row r="461" spans="1:34" s="87" customFormat="1" x14ac:dyDescent="0.25">
      <c r="A461" s="42" t="s">
        <v>907</v>
      </c>
      <c r="B461" s="49" t="s">
        <v>251</v>
      </c>
      <c r="C461" s="42" t="s">
        <v>856</v>
      </c>
      <c r="D461" s="105">
        <v>593584018</v>
      </c>
      <c r="E461" s="105">
        <v>9194626281</v>
      </c>
      <c r="F461" s="42" t="s">
        <v>256</v>
      </c>
      <c r="G461" s="84">
        <f>32908+(364+182)</f>
        <v>33454</v>
      </c>
      <c r="H461" s="53" t="str">
        <f>CHOOSE(MONTH(G461),"Jan","Feb","Mar","Apr","May","Jun","Jul","Aug","Sep","Oct","Nov","Dec")</f>
        <v>Aug</v>
      </c>
      <c r="I461" s="54">
        <f ca="1">DATEDIF(G461,TODAY(),"Y")</f>
        <v>25</v>
      </c>
      <c r="J461" s="55" t="s">
        <v>257</v>
      </c>
      <c r="K461" s="56">
        <v>67920</v>
      </c>
      <c r="L461" s="57">
        <v>4</v>
      </c>
      <c r="M461" s="62">
        <f>ROUND(K461*P459+K461,0)</f>
        <v>67920</v>
      </c>
      <c r="N461" s="103"/>
      <c r="O461" s="48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</row>
    <row r="462" spans="1:34" s="87" customFormat="1" x14ac:dyDescent="0.25">
      <c r="A462" s="42" t="s">
        <v>725</v>
      </c>
      <c r="B462" s="49" t="s">
        <v>285</v>
      </c>
      <c r="C462" s="42" t="s">
        <v>705</v>
      </c>
      <c r="D462" s="105">
        <v>959568761</v>
      </c>
      <c r="E462" s="105">
        <v>9194744493</v>
      </c>
      <c r="F462" s="42" t="s">
        <v>256</v>
      </c>
      <c r="G462" s="84">
        <f>32911+(364+182)</f>
        <v>33457</v>
      </c>
      <c r="H462" s="53" t="str">
        <f>CHOOSE(MONTH(G462),"Jan","Feb","Mar","Apr","May","Jun","Jul","Aug","Sep","Oct","Nov","Dec")</f>
        <v>Aug</v>
      </c>
      <c r="I462" s="54">
        <f ca="1">DATEDIF(G462,TODAY(),"Y")</f>
        <v>25</v>
      </c>
      <c r="J462" s="55" t="s">
        <v>267</v>
      </c>
      <c r="K462" s="56">
        <v>61470</v>
      </c>
      <c r="L462" s="57">
        <v>5</v>
      </c>
      <c r="M462" s="62">
        <f>ROUND(K462*P460+K462,0)</f>
        <v>61470</v>
      </c>
      <c r="N462" s="103"/>
      <c r="O462" s="48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</row>
    <row r="463" spans="1:34" s="87" customFormat="1" x14ac:dyDescent="0.25">
      <c r="A463" s="42" t="s">
        <v>764</v>
      </c>
      <c r="B463" s="49" t="s">
        <v>271</v>
      </c>
      <c r="C463" s="42" t="s">
        <v>750</v>
      </c>
      <c r="D463" s="105">
        <v>904790184</v>
      </c>
      <c r="E463" s="105">
        <v>9191876990</v>
      </c>
      <c r="F463" s="42" t="s">
        <v>256</v>
      </c>
      <c r="G463" s="84">
        <f>32914+(364+182)</f>
        <v>33460</v>
      </c>
      <c r="H463" s="53" t="str">
        <f>CHOOSE(MONTH(G463),"Jan","Feb","Mar","Apr","May","Jun","Jul","Aug","Sep","Oct","Nov","Dec")</f>
        <v>Aug</v>
      </c>
      <c r="I463" s="54">
        <f ca="1">DATEDIF(G463,TODAY(),"Y")</f>
        <v>25</v>
      </c>
      <c r="J463" s="55" t="s">
        <v>283</v>
      </c>
      <c r="K463" s="56">
        <v>77720</v>
      </c>
      <c r="L463" s="57">
        <v>3</v>
      </c>
      <c r="M463" s="62">
        <f>ROUND(K463*P461+K463,0)</f>
        <v>77720</v>
      </c>
      <c r="N463" s="103"/>
      <c r="O463" s="48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</row>
    <row r="464" spans="1:34" s="87" customFormat="1" x14ac:dyDescent="0.25">
      <c r="A464" s="42" t="s">
        <v>852</v>
      </c>
      <c r="B464" s="49" t="s">
        <v>271</v>
      </c>
      <c r="C464" s="42" t="s">
        <v>767</v>
      </c>
      <c r="D464" s="105">
        <v>503036433</v>
      </c>
      <c r="E464" s="105">
        <v>9192453666</v>
      </c>
      <c r="F464" s="42" t="s">
        <v>256</v>
      </c>
      <c r="G464" s="84">
        <f>32914+(364+182)</f>
        <v>33460</v>
      </c>
      <c r="H464" s="53" t="str">
        <f>CHOOSE(MONTH(G464),"Jan","Feb","Mar","Apr","May","Jun","Jul","Aug","Sep","Oct","Nov","Dec")</f>
        <v>Aug</v>
      </c>
      <c r="I464" s="54">
        <f ca="1">DATEDIF(G464,TODAY(),"Y")</f>
        <v>25</v>
      </c>
      <c r="J464" s="55" t="s">
        <v>267</v>
      </c>
      <c r="K464" s="56">
        <v>77740</v>
      </c>
      <c r="L464" s="57">
        <v>1</v>
      </c>
      <c r="M464" s="62">
        <f>ROUND(K464*P462+K464,0)</f>
        <v>77740</v>
      </c>
      <c r="N464" s="103"/>
      <c r="O464" s="48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</row>
    <row r="465" spans="1:34" s="87" customFormat="1" x14ac:dyDescent="0.25">
      <c r="A465" s="42" t="s">
        <v>325</v>
      </c>
      <c r="B465" s="49" t="s">
        <v>285</v>
      </c>
      <c r="C465" s="42" t="s">
        <v>312</v>
      </c>
      <c r="D465" s="105">
        <v>768215237</v>
      </c>
      <c r="E465" s="105">
        <v>9195993367</v>
      </c>
      <c r="F465" s="42" t="s">
        <v>261</v>
      </c>
      <c r="G465" s="84">
        <f>32926+(364+182)</f>
        <v>33472</v>
      </c>
      <c r="H465" s="53" t="str">
        <f>CHOOSE(MONTH(G465),"Jan","Feb","Mar","Apr","May","Jun","Jul","Aug","Sep","Oct","Nov","Dec")</f>
        <v>Aug</v>
      </c>
      <c r="I465" s="54">
        <f ca="1">DATEDIF(G465,TODAY(),"Y")</f>
        <v>25</v>
      </c>
      <c r="J465" s="55" t="s">
        <v>262</v>
      </c>
      <c r="K465" s="56">
        <v>13800</v>
      </c>
      <c r="L465" s="57">
        <v>3</v>
      </c>
      <c r="M465" s="62">
        <f>ROUND(K465*P463+K465,0)</f>
        <v>13800</v>
      </c>
      <c r="N465" s="103"/>
      <c r="O465" s="48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</row>
    <row r="466" spans="1:34" x14ac:dyDescent="0.25">
      <c r="A466" s="48" t="s">
        <v>1060</v>
      </c>
      <c r="B466" s="49" t="s">
        <v>271</v>
      </c>
      <c r="C466" s="48" t="s">
        <v>272</v>
      </c>
      <c r="D466" s="109">
        <v>535539723</v>
      </c>
      <c r="E466" s="109">
        <v>2523492633</v>
      </c>
      <c r="F466" s="48" t="s">
        <v>261</v>
      </c>
      <c r="G466" s="108">
        <f>32928+(364+182)</f>
        <v>33474</v>
      </c>
      <c r="H466" s="53" t="str">
        <f>CHOOSE(MONTH(G466),"Jan","Feb","Mar","Apr","May","Jun","Jul","Aug","Sep","Oct","Nov","Dec")</f>
        <v>Aug</v>
      </c>
      <c r="I466" s="54">
        <f ca="1">DATEDIF(G466,TODAY(),"Y")</f>
        <v>25</v>
      </c>
      <c r="J466" s="55" t="s">
        <v>262</v>
      </c>
      <c r="K466" s="56">
        <v>30445</v>
      </c>
      <c r="L466" s="57">
        <v>1</v>
      </c>
      <c r="M466" s="62">
        <f>ROUND(K466*P464+K466,0)</f>
        <v>30445</v>
      </c>
      <c r="O466" s="107"/>
    </row>
    <row r="467" spans="1:34" x14ac:dyDescent="0.25">
      <c r="A467" s="42" t="s">
        <v>561</v>
      </c>
      <c r="B467" s="49" t="s">
        <v>271</v>
      </c>
      <c r="C467" s="42" t="s">
        <v>465</v>
      </c>
      <c r="D467" s="105">
        <v>910964196</v>
      </c>
      <c r="E467" s="105">
        <v>9194361873</v>
      </c>
      <c r="F467" s="42" t="s">
        <v>247</v>
      </c>
      <c r="G467" s="84">
        <f>33273+(364+182)</f>
        <v>33819</v>
      </c>
      <c r="H467" s="53" t="str">
        <f>CHOOSE(MONTH(G467),"Jan","Feb","Mar","Apr","May","Jun","Jul","Aug","Sep","Oct","Nov","Dec")</f>
        <v>Aug</v>
      </c>
      <c r="I467" s="54">
        <f ca="1">DATEDIF(G467,TODAY(),"Y")</f>
        <v>24</v>
      </c>
      <c r="J467" s="55"/>
      <c r="K467" s="56">
        <v>49530</v>
      </c>
      <c r="L467" s="57">
        <v>2</v>
      </c>
      <c r="M467" s="62">
        <f>ROUND(K467*P465+K467,0)</f>
        <v>49530</v>
      </c>
    </row>
    <row r="468" spans="1:34" x14ac:dyDescent="0.25">
      <c r="A468" s="42" t="s">
        <v>1013</v>
      </c>
      <c r="B468" s="49" t="s">
        <v>245</v>
      </c>
      <c r="C468" s="42" t="s">
        <v>930</v>
      </c>
      <c r="D468" s="105">
        <v>610340294</v>
      </c>
      <c r="E468" s="105">
        <v>9198443818</v>
      </c>
      <c r="F468" s="42" t="s">
        <v>247</v>
      </c>
      <c r="G468" s="84">
        <f>33274+(364+182)</f>
        <v>33820</v>
      </c>
      <c r="H468" s="53" t="str">
        <f>CHOOSE(MONTH(G468),"Jan","Feb","Mar","Apr","May","Jun","Jul","Aug","Sep","Oct","Nov","Dec")</f>
        <v>Aug</v>
      </c>
      <c r="I468" s="54">
        <f ca="1">DATEDIF(G468,TODAY(),"Y")</f>
        <v>24</v>
      </c>
      <c r="J468" s="55"/>
      <c r="K468" s="56">
        <v>70300</v>
      </c>
      <c r="L468" s="57">
        <v>3</v>
      </c>
      <c r="M468" s="62">
        <f>ROUND(K468*P466+K468,0)</f>
        <v>70300</v>
      </c>
    </row>
    <row r="469" spans="1:34" x14ac:dyDescent="0.25">
      <c r="A469" s="42" t="s">
        <v>398</v>
      </c>
      <c r="B469" s="49" t="s">
        <v>285</v>
      </c>
      <c r="C469" s="42" t="s">
        <v>391</v>
      </c>
      <c r="D469" s="105">
        <v>685953695</v>
      </c>
      <c r="E469" s="105">
        <v>9196756847</v>
      </c>
      <c r="F469" s="42" t="s">
        <v>256</v>
      </c>
      <c r="G469" s="84">
        <f>33277+(364+182)</f>
        <v>33823</v>
      </c>
      <c r="H469" s="53" t="str">
        <f>CHOOSE(MONTH(G469),"Jan","Feb","Mar","Apr","May","Jun","Jul","Aug","Sep","Oct","Nov","Dec")</f>
        <v>Aug</v>
      </c>
      <c r="I469" s="54">
        <f ca="1">DATEDIF(G469,TODAY(),"Y")</f>
        <v>24</v>
      </c>
      <c r="J469" s="55" t="s">
        <v>283</v>
      </c>
      <c r="K469" s="56">
        <v>82760</v>
      </c>
      <c r="L469" s="57">
        <v>4</v>
      </c>
      <c r="M469" s="62">
        <f>ROUND(K469*P467+K469,0)</f>
        <v>82760</v>
      </c>
    </row>
    <row r="470" spans="1:34" x14ac:dyDescent="0.25">
      <c r="A470" s="42" t="s">
        <v>293</v>
      </c>
      <c r="B470" s="49" t="s">
        <v>285</v>
      </c>
      <c r="C470" s="42" t="s">
        <v>272</v>
      </c>
      <c r="D470" s="105">
        <v>608796012</v>
      </c>
      <c r="E470" s="105">
        <v>9194075460</v>
      </c>
      <c r="F470" s="42" t="s">
        <v>256</v>
      </c>
      <c r="G470" s="84">
        <f>33285+(364+182)</f>
        <v>33831</v>
      </c>
      <c r="H470" s="53" t="str">
        <f>CHOOSE(MONTH(G470),"Jan","Feb","Mar","Apr","May","Jun","Jul","Aug","Sep","Oct","Nov","Dec")</f>
        <v>Aug</v>
      </c>
      <c r="I470" s="54">
        <f ca="1">DATEDIF(G470,TODAY(),"Y")</f>
        <v>24</v>
      </c>
      <c r="J470" s="55" t="s">
        <v>257</v>
      </c>
      <c r="K470" s="56">
        <v>79760</v>
      </c>
      <c r="L470" s="57">
        <v>5</v>
      </c>
      <c r="M470" s="62">
        <f>ROUND(K470*P468+K470,0)</f>
        <v>79760</v>
      </c>
    </row>
    <row r="471" spans="1:34" x14ac:dyDescent="0.25">
      <c r="A471" s="42" t="s">
        <v>619</v>
      </c>
      <c r="B471" s="49" t="s">
        <v>280</v>
      </c>
      <c r="C471" s="42" t="s">
        <v>618</v>
      </c>
      <c r="D471" s="105">
        <v>742946482</v>
      </c>
      <c r="E471" s="105">
        <v>9197077326</v>
      </c>
      <c r="F471" s="42" t="s">
        <v>256</v>
      </c>
      <c r="G471" s="84">
        <f>33286+(364+182)</f>
        <v>33832</v>
      </c>
      <c r="H471" s="53" t="str">
        <f>CHOOSE(MONTH(G471),"Jan","Feb","Mar","Apr","May","Jun","Jul","Aug","Sep","Oct","Nov","Dec")</f>
        <v>Aug</v>
      </c>
      <c r="I471" s="54">
        <f ca="1">DATEDIF(G471,TODAY(),"Y")</f>
        <v>24</v>
      </c>
      <c r="J471" s="55" t="s">
        <v>257</v>
      </c>
      <c r="K471" s="56">
        <v>39160</v>
      </c>
      <c r="L471" s="57">
        <v>3</v>
      </c>
      <c r="M471" s="62">
        <f>ROUND(K471*P469+K471,0)</f>
        <v>39160</v>
      </c>
    </row>
    <row r="472" spans="1:34" x14ac:dyDescent="0.25">
      <c r="A472" s="48" t="s">
        <v>250</v>
      </c>
      <c r="B472" s="49" t="s">
        <v>251</v>
      </c>
      <c r="C472" s="48" t="s">
        <v>246</v>
      </c>
      <c r="D472" s="109">
        <v>411526157</v>
      </c>
      <c r="E472" s="109">
        <v>9195818082</v>
      </c>
      <c r="F472" s="48" t="s">
        <v>252</v>
      </c>
      <c r="G472" s="108">
        <f>33300+(364+182)</f>
        <v>33846</v>
      </c>
      <c r="H472" s="53" t="str">
        <f>CHOOSE(MONTH(G472),"Jan","Feb","Mar","Apr","May","Jun","Jul","Aug","Sep","Oct","Nov","Dec")</f>
        <v>Aug</v>
      </c>
      <c r="I472" s="54">
        <f ca="1">DATEDIF(G472,TODAY(),"Y")</f>
        <v>24</v>
      </c>
      <c r="J472" s="55"/>
      <c r="K472" s="56">
        <v>35680</v>
      </c>
      <c r="L472" s="57">
        <v>2</v>
      </c>
      <c r="M472" s="62">
        <f>ROUND(K472*P470+K472,0)</f>
        <v>35680</v>
      </c>
      <c r="O472" s="107"/>
    </row>
    <row r="473" spans="1:34" x14ac:dyDescent="0.25">
      <c r="A473" s="42" t="s">
        <v>357</v>
      </c>
      <c r="B473" s="49" t="s">
        <v>285</v>
      </c>
      <c r="C473" s="42" t="s">
        <v>312</v>
      </c>
      <c r="D473" s="105">
        <v>870106287</v>
      </c>
      <c r="E473" s="105">
        <v>2528611970</v>
      </c>
      <c r="F473" s="42" t="s">
        <v>261</v>
      </c>
      <c r="G473" s="84">
        <f>34002+(364+182)</f>
        <v>34548</v>
      </c>
      <c r="H473" s="53" t="str">
        <f>CHOOSE(MONTH(G473),"Jan","Feb","Mar","Apr","May","Jun","Jul","Aug","Sep","Oct","Nov","Dec")</f>
        <v>Aug</v>
      </c>
      <c r="I473" s="54">
        <f ca="1">DATEDIF(G473,TODAY(),"Y")</f>
        <v>22</v>
      </c>
      <c r="J473" s="55" t="s">
        <v>276</v>
      </c>
      <c r="K473" s="56">
        <v>38920</v>
      </c>
      <c r="L473" s="57">
        <v>4</v>
      </c>
      <c r="M473" s="62">
        <f>ROUND(K473*P471+K473,0)</f>
        <v>38920</v>
      </c>
    </row>
    <row r="474" spans="1:34" x14ac:dyDescent="0.25">
      <c r="A474" s="42" t="s">
        <v>452</v>
      </c>
      <c r="B474" s="49" t="s">
        <v>285</v>
      </c>
      <c r="C474" s="42" t="s">
        <v>417</v>
      </c>
      <c r="D474" s="105">
        <v>661397587</v>
      </c>
      <c r="E474" s="105">
        <v>9196126835</v>
      </c>
      <c r="F474" s="42" t="s">
        <v>247</v>
      </c>
      <c r="G474" s="84">
        <f>34366+(364+182)</f>
        <v>34912</v>
      </c>
      <c r="H474" s="53" t="str">
        <f>CHOOSE(MONTH(G474),"Jan","Feb","Mar","Apr","May","Jun","Jul","Aug","Sep","Oct","Nov","Dec")</f>
        <v>Aug</v>
      </c>
      <c r="I474" s="54">
        <f ca="1">DATEDIF(G474,TODAY(),"Y")</f>
        <v>21</v>
      </c>
      <c r="J474" s="55"/>
      <c r="K474" s="56">
        <v>40560</v>
      </c>
      <c r="L474" s="57">
        <v>5</v>
      </c>
      <c r="M474" s="62">
        <f>ROUND(K474*P472+K474,0)</f>
        <v>40560</v>
      </c>
    </row>
    <row r="475" spans="1:34" x14ac:dyDescent="0.25">
      <c r="A475" s="42" t="s">
        <v>802</v>
      </c>
      <c r="B475" s="49" t="s">
        <v>280</v>
      </c>
      <c r="C475" s="42" t="s">
        <v>767</v>
      </c>
      <c r="D475" s="105">
        <v>445693854</v>
      </c>
      <c r="E475" s="105">
        <v>9192891217</v>
      </c>
      <c r="F475" s="42" t="s">
        <v>247</v>
      </c>
      <c r="G475" s="84">
        <f>34369+(364+182)</f>
        <v>34915</v>
      </c>
      <c r="H475" s="53" t="str">
        <f>CHOOSE(MONTH(G475),"Jan","Feb","Mar","Apr","May","Jun","Jul","Aug","Sep","Oct","Nov","Dec")</f>
        <v>Aug</v>
      </c>
      <c r="I475" s="54">
        <f ca="1">DATEDIF(G475,TODAY(),"Y")</f>
        <v>21</v>
      </c>
      <c r="J475" s="55"/>
      <c r="K475" s="56">
        <v>76870</v>
      </c>
      <c r="L475" s="57">
        <v>5</v>
      </c>
      <c r="M475" s="62">
        <f>ROUND(K475*P473+K475,0)</f>
        <v>76870</v>
      </c>
    </row>
    <row r="476" spans="1:34" x14ac:dyDescent="0.25">
      <c r="A476" s="42" t="s">
        <v>992</v>
      </c>
      <c r="B476" s="49" t="s">
        <v>280</v>
      </c>
      <c r="C476" s="42" t="s">
        <v>930</v>
      </c>
      <c r="D476" s="105">
        <v>749768847</v>
      </c>
      <c r="E476" s="105">
        <v>2528552110</v>
      </c>
      <c r="F476" s="42" t="s">
        <v>247</v>
      </c>
      <c r="G476" s="84">
        <f>34734+(364+182)</f>
        <v>35280</v>
      </c>
      <c r="H476" s="53" t="str">
        <f>CHOOSE(MONTH(G476),"Jan","Feb","Mar","Apr","May","Jun","Jul","Aug","Sep","Oct","Nov","Dec")</f>
        <v>Aug</v>
      </c>
      <c r="I476" s="54">
        <f ca="1">DATEDIF(G476,TODAY(),"Y")</f>
        <v>20</v>
      </c>
      <c r="J476" s="55"/>
      <c r="K476" s="56">
        <v>41770</v>
      </c>
      <c r="L476" s="57">
        <v>5</v>
      </c>
      <c r="M476" s="62">
        <f>ROUND(K476*P474+K476,0)</f>
        <v>41770</v>
      </c>
    </row>
    <row r="477" spans="1:34" x14ac:dyDescent="0.25">
      <c r="A477" s="42" t="s">
        <v>628</v>
      </c>
      <c r="B477" s="49" t="s">
        <v>251</v>
      </c>
      <c r="C477" s="42" t="s">
        <v>626</v>
      </c>
      <c r="D477" s="105">
        <v>634954970</v>
      </c>
      <c r="E477" s="105">
        <v>9194900864</v>
      </c>
      <c r="F477" s="42" t="s">
        <v>256</v>
      </c>
      <c r="G477" s="84">
        <f>34736+(364+182)</f>
        <v>35282</v>
      </c>
      <c r="H477" s="53" t="str">
        <f>CHOOSE(MONTH(G477),"Jan","Feb","Mar","Apr","May","Jun","Jul","Aug","Sep","Oct","Nov","Dec")</f>
        <v>Aug</v>
      </c>
      <c r="I477" s="54">
        <f ca="1">DATEDIF(G477,TODAY(),"Y")</f>
        <v>20</v>
      </c>
      <c r="J477" s="55" t="s">
        <v>257</v>
      </c>
      <c r="K477" s="56">
        <v>57560</v>
      </c>
      <c r="L477" s="57">
        <v>4</v>
      </c>
      <c r="M477" s="62">
        <f>ROUND(K477*P475+K477,0)</f>
        <v>57560</v>
      </c>
    </row>
    <row r="478" spans="1:34" x14ac:dyDescent="0.25">
      <c r="A478" s="42" t="s">
        <v>829</v>
      </c>
      <c r="B478" s="49" t="s">
        <v>245</v>
      </c>
      <c r="C478" s="42" t="s">
        <v>767</v>
      </c>
      <c r="D478" s="105">
        <v>174159111</v>
      </c>
      <c r="E478" s="105">
        <v>9191675237</v>
      </c>
      <c r="F478" s="42" t="s">
        <v>256</v>
      </c>
      <c r="G478" s="84">
        <f>34740+(364+182)</f>
        <v>35286</v>
      </c>
      <c r="H478" s="53" t="str">
        <f>CHOOSE(MONTH(G478),"Jan","Feb","Mar","Apr","May","Jun","Jul","Aug","Sep","Oct","Nov","Dec")</f>
        <v>Aug</v>
      </c>
      <c r="I478" s="54">
        <f ca="1">DATEDIF(G478,TODAY(),"Y")</f>
        <v>20</v>
      </c>
      <c r="J478" s="55" t="s">
        <v>262</v>
      </c>
      <c r="K478" s="56">
        <v>72700</v>
      </c>
      <c r="L478" s="57">
        <v>5</v>
      </c>
      <c r="M478" s="62">
        <f>ROUND(K478*P476+K478,0)</f>
        <v>72700</v>
      </c>
    </row>
    <row r="479" spans="1:34" x14ac:dyDescent="0.25">
      <c r="A479" s="42" t="s">
        <v>932</v>
      </c>
      <c r="B479" s="49" t="s">
        <v>266</v>
      </c>
      <c r="C479" s="42" t="s">
        <v>930</v>
      </c>
      <c r="D479" s="105">
        <v>758001890</v>
      </c>
      <c r="E479" s="105">
        <v>2521202348</v>
      </c>
      <c r="F479" s="42" t="s">
        <v>261</v>
      </c>
      <c r="G479" s="84">
        <f>34751+(364+182)</f>
        <v>35297</v>
      </c>
      <c r="H479" s="53" t="str">
        <f>CHOOSE(MONTH(G479),"Jan","Feb","Mar","Apr","May","Jun","Jul","Aug","Sep","Oct","Nov","Dec")</f>
        <v>Aug</v>
      </c>
      <c r="I479" s="54">
        <f ca="1">DATEDIF(G479,TODAY(),"Y")</f>
        <v>20</v>
      </c>
      <c r="J479" s="55" t="s">
        <v>283</v>
      </c>
      <c r="K479" s="56">
        <v>38105</v>
      </c>
      <c r="L479" s="57">
        <v>2</v>
      </c>
      <c r="M479" s="62">
        <f>ROUND(K479*P477+K479,0)</f>
        <v>38105</v>
      </c>
    </row>
    <row r="480" spans="1:34" x14ac:dyDescent="0.25">
      <c r="A480" s="42" t="s">
        <v>824</v>
      </c>
      <c r="B480" s="49" t="s">
        <v>285</v>
      </c>
      <c r="C480" s="42" t="s">
        <v>767</v>
      </c>
      <c r="D480" s="105">
        <v>556327593</v>
      </c>
      <c r="E480" s="105">
        <v>2523324762</v>
      </c>
      <c r="F480" s="42" t="s">
        <v>247</v>
      </c>
      <c r="G480" s="84">
        <f>34755+(364+182)</f>
        <v>35301</v>
      </c>
      <c r="H480" s="53" t="str">
        <f>CHOOSE(MONTH(G480),"Jan","Feb","Mar","Apr","May","Jun","Jul","Aug","Sep","Oct","Nov","Dec")</f>
        <v>Aug</v>
      </c>
      <c r="I480" s="54">
        <f ca="1">DATEDIF(G480,TODAY(),"Y")</f>
        <v>20</v>
      </c>
      <c r="J480" s="55"/>
      <c r="K480" s="56">
        <v>60070</v>
      </c>
      <c r="L480" s="57">
        <v>2</v>
      </c>
      <c r="M480" s="62">
        <f>ROUND(K480*P478+K480,0)</f>
        <v>60070</v>
      </c>
    </row>
    <row r="481" spans="1:17" x14ac:dyDescent="0.25">
      <c r="A481" s="42" t="s">
        <v>1022</v>
      </c>
      <c r="B481" s="49" t="s">
        <v>251</v>
      </c>
      <c r="C481" s="42" t="s">
        <v>930</v>
      </c>
      <c r="D481" s="105">
        <v>799754905</v>
      </c>
      <c r="E481" s="105">
        <v>2526757210</v>
      </c>
      <c r="F481" s="42" t="s">
        <v>256</v>
      </c>
      <c r="G481" s="84">
        <f>34761+(364+182)</f>
        <v>35307</v>
      </c>
      <c r="H481" s="53" t="str">
        <f>CHOOSE(MONTH(G481),"Jan","Feb","Mar","Apr","May","Jun","Jul","Aug","Sep","Oct","Nov","Dec")</f>
        <v>Aug</v>
      </c>
      <c r="I481" s="54">
        <f ca="1">DATEDIF(G481,TODAY(),"Y")</f>
        <v>20</v>
      </c>
      <c r="J481" s="55" t="s">
        <v>257</v>
      </c>
      <c r="K481" s="56">
        <v>31690</v>
      </c>
      <c r="L481" s="57">
        <v>4</v>
      </c>
      <c r="M481" s="62">
        <f>ROUND(K481*P479+K481,0)</f>
        <v>31690</v>
      </c>
    </row>
    <row r="482" spans="1:17" x14ac:dyDescent="0.25">
      <c r="A482" s="42" t="s">
        <v>369</v>
      </c>
      <c r="B482" s="49" t="s">
        <v>245</v>
      </c>
      <c r="C482" s="42" t="s">
        <v>312</v>
      </c>
      <c r="D482" s="105">
        <v>415228597</v>
      </c>
      <c r="E482" s="105">
        <v>9196252690</v>
      </c>
      <c r="F482" s="42" t="s">
        <v>256</v>
      </c>
      <c r="G482" s="84">
        <f>35121+(364+182)</f>
        <v>35667</v>
      </c>
      <c r="H482" s="53" t="str">
        <f>CHOOSE(MONTH(G482),"Jan","Feb","Mar","Apr","May","Jun","Jul","Aug","Sep","Oct","Nov","Dec")</f>
        <v>Aug</v>
      </c>
      <c r="I482" s="54">
        <f ca="1">DATEDIF(G482,TODAY(),"Y")</f>
        <v>19</v>
      </c>
      <c r="J482" s="55" t="s">
        <v>257</v>
      </c>
      <c r="K482" s="56">
        <v>40920</v>
      </c>
      <c r="L482" s="57">
        <v>4</v>
      </c>
      <c r="M482" s="62">
        <f>ROUND(K482*P480+K482,0)</f>
        <v>40920</v>
      </c>
    </row>
    <row r="483" spans="1:17" x14ac:dyDescent="0.25">
      <c r="A483" s="42" t="s">
        <v>404</v>
      </c>
      <c r="B483" s="49" t="s">
        <v>285</v>
      </c>
      <c r="C483" s="42" t="s">
        <v>391</v>
      </c>
      <c r="D483" s="105">
        <v>195245117</v>
      </c>
      <c r="E483" s="105">
        <v>9193451072</v>
      </c>
      <c r="F483" s="42" t="s">
        <v>252</v>
      </c>
      <c r="G483" s="84">
        <f>35127+(364+182)</f>
        <v>35673</v>
      </c>
      <c r="H483" s="53" t="str">
        <f>CHOOSE(MONTH(G483),"Jan","Feb","Mar","Apr","May","Jun","Jul","Aug","Sep","Oct","Nov","Dec")</f>
        <v>Aug</v>
      </c>
      <c r="I483" s="54">
        <f ca="1">DATEDIF(G483,TODAY(),"Y")</f>
        <v>19</v>
      </c>
      <c r="J483" s="55"/>
      <c r="K483" s="56">
        <v>12676</v>
      </c>
      <c r="L483" s="57">
        <v>2</v>
      </c>
      <c r="M483" s="62">
        <f>ROUND(K483*P481+K483,0)</f>
        <v>12676</v>
      </c>
    </row>
    <row r="484" spans="1:17" x14ac:dyDescent="0.25">
      <c r="A484" s="42" t="s">
        <v>601</v>
      </c>
      <c r="B484" s="49" t="s">
        <v>271</v>
      </c>
      <c r="C484" s="42" t="s">
        <v>465</v>
      </c>
      <c r="D484" s="105">
        <v>470719383</v>
      </c>
      <c r="E484" s="105">
        <v>9197848542</v>
      </c>
      <c r="F484" s="42" t="s">
        <v>256</v>
      </c>
      <c r="G484" s="84">
        <f>35463+(364+182)</f>
        <v>36009</v>
      </c>
      <c r="H484" s="53" t="str">
        <f>CHOOSE(MONTH(G484),"Jan","Feb","Mar","Apr","May","Jun","Jul","Aug","Sep","Oct","Nov","Dec")</f>
        <v>Aug</v>
      </c>
      <c r="I484" s="54">
        <f ca="1">DATEDIF(G484,TODAY(),"Y")</f>
        <v>18</v>
      </c>
      <c r="J484" s="55" t="s">
        <v>257</v>
      </c>
      <c r="K484" s="56">
        <v>75120</v>
      </c>
      <c r="L484" s="57">
        <v>5</v>
      </c>
      <c r="M484" s="62">
        <f>ROUND(K484*P482+K484,0)</f>
        <v>75120</v>
      </c>
    </row>
    <row r="485" spans="1:17" x14ac:dyDescent="0.25">
      <c r="A485" s="42" t="s">
        <v>567</v>
      </c>
      <c r="B485" s="49" t="s">
        <v>280</v>
      </c>
      <c r="C485" s="42" t="s">
        <v>465</v>
      </c>
      <c r="D485" s="105">
        <v>596008829</v>
      </c>
      <c r="E485" s="105">
        <v>9198721709</v>
      </c>
      <c r="F485" s="42" t="s">
        <v>247</v>
      </c>
      <c r="G485" s="84">
        <f>35465+(364+182)</f>
        <v>36011</v>
      </c>
      <c r="H485" s="53" t="str">
        <f>CHOOSE(MONTH(G485),"Jan","Feb","Mar","Apr","May","Jun","Jul","Aug","Sep","Oct","Nov","Dec")</f>
        <v>Aug</v>
      </c>
      <c r="I485" s="54">
        <f ca="1">DATEDIF(G485,TODAY(),"Y")</f>
        <v>18</v>
      </c>
      <c r="J485" s="55"/>
      <c r="K485" s="56">
        <v>45050</v>
      </c>
      <c r="L485" s="57">
        <v>1</v>
      </c>
      <c r="M485" s="62">
        <f>ROUND(K485*P483+K485,0)</f>
        <v>45050</v>
      </c>
    </row>
    <row r="486" spans="1:17" x14ac:dyDescent="0.25">
      <c r="A486" s="42" t="s">
        <v>902</v>
      </c>
      <c r="B486" s="49" t="s">
        <v>271</v>
      </c>
      <c r="C486" s="42" t="s">
        <v>856</v>
      </c>
      <c r="D486" s="105">
        <v>644489557</v>
      </c>
      <c r="E486" s="105">
        <v>2526532463</v>
      </c>
      <c r="F486" s="42" t="s">
        <v>256</v>
      </c>
      <c r="G486" s="84">
        <f>35466+(364+182)</f>
        <v>36012</v>
      </c>
      <c r="H486" s="53" t="str">
        <f>CHOOSE(MONTH(G486),"Jan","Feb","Mar","Apr","May","Jun","Jul","Aug","Sep","Oct","Nov","Dec")</f>
        <v>Aug</v>
      </c>
      <c r="I486" s="54">
        <f ca="1">DATEDIF(G486,TODAY(),"Y")</f>
        <v>18</v>
      </c>
      <c r="J486" s="55" t="s">
        <v>262</v>
      </c>
      <c r="K486" s="56">
        <v>78950</v>
      </c>
      <c r="L486" s="57">
        <v>1</v>
      </c>
      <c r="M486" s="62">
        <f>ROUND(K486*P484+K486,0)</f>
        <v>78950</v>
      </c>
    </row>
    <row r="487" spans="1:17" x14ac:dyDescent="0.25">
      <c r="A487" s="42" t="s">
        <v>943</v>
      </c>
      <c r="B487" s="49" t="s">
        <v>285</v>
      </c>
      <c r="C487" s="42" t="s">
        <v>930</v>
      </c>
      <c r="D487" s="105">
        <v>249416723</v>
      </c>
      <c r="E487" s="105">
        <v>2521628807</v>
      </c>
      <c r="F487" s="42" t="s">
        <v>256</v>
      </c>
      <c r="G487" s="84">
        <f>35479+(364+182)</f>
        <v>36025</v>
      </c>
      <c r="H487" s="53" t="str">
        <f>CHOOSE(MONTH(G487),"Jan","Feb","Mar","Apr","May","Jun","Jul","Aug","Sep","Oct","Nov","Dec")</f>
        <v>Aug</v>
      </c>
      <c r="I487" s="54">
        <f ca="1">DATEDIF(G487,TODAY(),"Y")</f>
        <v>18</v>
      </c>
      <c r="J487" s="55" t="s">
        <v>262</v>
      </c>
      <c r="K487" s="56">
        <v>64470</v>
      </c>
      <c r="L487" s="57">
        <v>5</v>
      </c>
      <c r="M487" s="62">
        <f>ROUND(K487*P485+K487,0)</f>
        <v>64470</v>
      </c>
    </row>
    <row r="488" spans="1:17" x14ac:dyDescent="0.25">
      <c r="A488" s="42" t="s">
        <v>768</v>
      </c>
      <c r="B488" s="49" t="s">
        <v>285</v>
      </c>
      <c r="C488" s="42" t="s">
        <v>767</v>
      </c>
      <c r="D488" s="105">
        <v>699386024</v>
      </c>
      <c r="E488" s="105">
        <v>2525842116</v>
      </c>
      <c r="F488" s="42" t="s">
        <v>252</v>
      </c>
      <c r="G488" s="84">
        <f>35482+(364+182)</f>
        <v>36028</v>
      </c>
      <c r="H488" s="53" t="str">
        <f>CHOOSE(MONTH(G488),"Jan","Feb","Mar","Apr","May","Jun","Jul","Aug","Sep","Oct","Nov","Dec")</f>
        <v>Aug</v>
      </c>
      <c r="I488" s="54">
        <f ca="1">DATEDIF(G488,TODAY(),"Y")</f>
        <v>18</v>
      </c>
      <c r="J488" s="55"/>
      <c r="K488" s="56">
        <v>16688</v>
      </c>
      <c r="L488" s="57">
        <v>3</v>
      </c>
      <c r="M488" s="62">
        <f>ROUND(K488*P486+K488,0)</f>
        <v>16688</v>
      </c>
    </row>
    <row r="489" spans="1:17" x14ac:dyDescent="0.25">
      <c r="A489" s="42" t="s">
        <v>317</v>
      </c>
      <c r="B489" s="49" t="s">
        <v>280</v>
      </c>
      <c r="C489" s="42" t="s">
        <v>312</v>
      </c>
      <c r="D489" s="105">
        <v>163292583</v>
      </c>
      <c r="E489" s="105">
        <v>2522005810</v>
      </c>
      <c r="F489" s="42" t="s">
        <v>247</v>
      </c>
      <c r="G489" s="84">
        <f>35492+(364+182)</f>
        <v>36038</v>
      </c>
      <c r="H489" s="53" t="str">
        <f>CHOOSE(MONTH(G489),"Jan","Feb","Mar","Apr","May","Jun","Jul","Aug","Sep","Oct","Nov","Dec")</f>
        <v>Aug</v>
      </c>
      <c r="I489" s="54">
        <f ca="1">DATEDIF(G489,TODAY(),"Y")</f>
        <v>18</v>
      </c>
      <c r="J489" s="55"/>
      <c r="K489" s="56">
        <v>30340</v>
      </c>
      <c r="L489" s="57">
        <v>3</v>
      </c>
      <c r="M489" s="62">
        <f>ROUND(K489*P487+K489,0)</f>
        <v>30340</v>
      </c>
    </row>
    <row r="490" spans="1:17" x14ac:dyDescent="0.25">
      <c r="A490" s="42" t="s">
        <v>766</v>
      </c>
      <c r="B490" s="49" t="s">
        <v>266</v>
      </c>
      <c r="C490" s="42" t="s">
        <v>767</v>
      </c>
      <c r="D490" s="105">
        <v>239847790</v>
      </c>
      <c r="E490" s="105">
        <v>2524045531</v>
      </c>
      <c r="F490" s="42" t="s">
        <v>247</v>
      </c>
      <c r="G490" s="84">
        <f>35829+(364+182)</f>
        <v>36375</v>
      </c>
      <c r="H490" s="53" t="str">
        <f>CHOOSE(MONTH(G490),"Jan","Feb","Mar","Apr","May","Jun","Jul","Aug","Sep","Oct","Nov","Dec")</f>
        <v>Aug</v>
      </c>
      <c r="I490" s="54">
        <f ca="1">DATEDIF(G490,TODAY(),"Y")</f>
        <v>17</v>
      </c>
      <c r="J490" s="55"/>
      <c r="K490" s="56">
        <v>71300</v>
      </c>
      <c r="L490" s="57">
        <v>5</v>
      </c>
      <c r="M490" s="62">
        <f>ROUND(K490*P488+K490,0)</f>
        <v>71300</v>
      </c>
      <c r="P490" s="78"/>
      <c r="Q490" s="78"/>
    </row>
    <row r="491" spans="1:17" x14ac:dyDescent="0.25">
      <c r="A491" s="42" t="s">
        <v>812</v>
      </c>
      <c r="B491" s="49" t="s">
        <v>271</v>
      </c>
      <c r="C491" s="42" t="s">
        <v>767</v>
      </c>
      <c r="D491" s="105">
        <v>358017400</v>
      </c>
      <c r="E491" s="105">
        <v>2523265407</v>
      </c>
      <c r="F491" s="42" t="s">
        <v>252</v>
      </c>
      <c r="G491" s="84">
        <f>35834+(364+182)</f>
        <v>36380</v>
      </c>
      <c r="H491" s="53" t="str">
        <f>CHOOSE(MONTH(G491),"Jan","Feb","Mar","Apr","May","Jun","Jul","Aug","Sep","Oct","Nov","Dec")</f>
        <v>Aug</v>
      </c>
      <c r="I491" s="54">
        <f ca="1">DATEDIF(G491,TODAY(),"Y")</f>
        <v>17</v>
      </c>
      <c r="J491" s="55"/>
      <c r="K491" s="56">
        <v>36052</v>
      </c>
      <c r="L491" s="57">
        <v>5</v>
      </c>
      <c r="M491" s="62">
        <f>ROUND(K491*P489+K491,0)</f>
        <v>36052</v>
      </c>
    </row>
    <row r="492" spans="1:17" x14ac:dyDescent="0.25">
      <c r="A492" s="42" t="s">
        <v>650</v>
      </c>
      <c r="B492" s="49" t="s">
        <v>251</v>
      </c>
      <c r="C492" s="42" t="s">
        <v>626</v>
      </c>
      <c r="D492" s="105">
        <v>662974752</v>
      </c>
      <c r="E492" s="105">
        <v>2526040465</v>
      </c>
      <c r="F492" s="42" t="s">
        <v>256</v>
      </c>
      <c r="G492" s="84">
        <f>35846+(364+182)</f>
        <v>36392</v>
      </c>
      <c r="H492" s="53" t="str">
        <f>CHOOSE(MONTH(G492),"Jan","Feb","Mar","Apr","May","Jun","Jul","Aug","Sep","Oct","Nov","Dec")</f>
        <v>Aug</v>
      </c>
      <c r="I492" s="54">
        <f ca="1">DATEDIF(G492,TODAY(),"Y")</f>
        <v>17</v>
      </c>
      <c r="J492" s="55" t="s">
        <v>283</v>
      </c>
      <c r="K492" s="56">
        <v>51410</v>
      </c>
      <c r="L492" s="57">
        <v>4</v>
      </c>
      <c r="M492" s="62">
        <f>ROUND(K492*P490+K492,0)</f>
        <v>51410</v>
      </c>
    </row>
    <row r="493" spans="1:17" x14ac:dyDescent="0.25">
      <c r="A493" s="42" t="s">
        <v>842</v>
      </c>
      <c r="B493" s="49" t="s">
        <v>271</v>
      </c>
      <c r="C493" s="42" t="s">
        <v>767</v>
      </c>
      <c r="D493" s="105">
        <v>867100310</v>
      </c>
      <c r="E493" s="105">
        <v>9191376854</v>
      </c>
      <c r="F493" s="42" t="s">
        <v>256</v>
      </c>
      <c r="G493" s="84">
        <f>35847+(364+182)</f>
        <v>36393</v>
      </c>
      <c r="H493" s="53" t="str">
        <f>CHOOSE(MONTH(G493),"Jan","Feb","Mar","Apr","May","Jun","Jul","Aug","Sep","Oct","Nov","Dec")</f>
        <v>Aug</v>
      </c>
      <c r="I493" s="54">
        <f ca="1">DATEDIF(G493,TODAY(),"Y")</f>
        <v>17</v>
      </c>
      <c r="J493" s="55" t="s">
        <v>283</v>
      </c>
      <c r="K493" s="56">
        <v>65910</v>
      </c>
      <c r="L493" s="57">
        <v>5</v>
      </c>
      <c r="M493" s="62">
        <f>ROUND(K493*P491+K493,0)</f>
        <v>65910</v>
      </c>
    </row>
    <row r="494" spans="1:17" x14ac:dyDescent="0.25">
      <c r="A494" s="42" t="s">
        <v>291</v>
      </c>
      <c r="B494" s="49" t="s">
        <v>266</v>
      </c>
      <c r="C494" s="42" t="s">
        <v>272</v>
      </c>
      <c r="D494" s="105">
        <v>456946966</v>
      </c>
      <c r="E494" s="105">
        <v>9194680033</v>
      </c>
      <c r="F494" s="42" t="s">
        <v>256</v>
      </c>
      <c r="G494" s="84">
        <f>36218+(364+182)</f>
        <v>36764</v>
      </c>
      <c r="H494" s="53" t="str">
        <f>CHOOSE(MONTH(G494),"Jan","Feb","Mar","Apr","May","Jun","Jul","Aug","Sep","Oct","Nov","Dec")</f>
        <v>Aug</v>
      </c>
      <c r="I494" s="54">
        <f ca="1">DATEDIF(G494,TODAY(),"Y")</f>
        <v>16</v>
      </c>
      <c r="J494" s="55" t="s">
        <v>276</v>
      </c>
      <c r="K494" s="56">
        <v>74840</v>
      </c>
      <c r="L494" s="57">
        <v>4</v>
      </c>
      <c r="M494" s="62">
        <f>ROUND(K494*P492+K494,0)</f>
        <v>74840</v>
      </c>
    </row>
    <row r="495" spans="1:17" x14ac:dyDescent="0.25">
      <c r="A495" s="42" t="s">
        <v>617</v>
      </c>
      <c r="B495" s="49" t="s">
        <v>245</v>
      </c>
      <c r="C495" s="42" t="s">
        <v>618</v>
      </c>
      <c r="D495" s="105">
        <v>292006053</v>
      </c>
      <c r="E495" s="105">
        <v>9197045091</v>
      </c>
      <c r="F495" s="42" t="s">
        <v>247</v>
      </c>
      <c r="G495" s="84">
        <f>36219+(364+182)</f>
        <v>36765</v>
      </c>
      <c r="H495" s="53" t="str">
        <f>CHOOSE(MONTH(G495),"Jan","Feb","Mar","Apr","May","Jun","Jul","Aug","Sep","Oct","Nov","Dec")</f>
        <v>Aug</v>
      </c>
      <c r="I495" s="54">
        <f ca="1">DATEDIF(G495,TODAY(),"Y")</f>
        <v>16</v>
      </c>
      <c r="J495" s="55"/>
      <c r="K495" s="56">
        <v>74500</v>
      </c>
      <c r="L495" s="57">
        <v>4</v>
      </c>
      <c r="M495" s="62">
        <f>ROUND(K495*P493+K495,0)</f>
        <v>74500</v>
      </c>
    </row>
    <row r="496" spans="1:17" x14ac:dyDescent="0.25">
      <c r="A496" s="42" t="s">
        <v>402</v>
      </c>
      <c r="B496" s="49" t="s">
        <v>271</v>
      </c>
      <c r="C496" s="42" t="s">
        <v>391</v>
      </c>
      <c r="D496" s="105">
        <v>469591073</v>
      </c>
      <c r="E496" s="105">
        <v>2523327522</v>
      </c>
      <c r="F496" s="42" t="s">
        <v>256</v>
      </c>
      <c r="G496" s="84">
        <f>36567+(364+182)</f>
        <v>37113</v>
      </c>
      <c r="H496" s="53" t="str">
        <f>CHOOSE(MONTH(G496),"Jan","Feb","Mar","Apr","May","Jun","Jul","Aug","Sep","Oct","Nov","Dec")</f>
        <v>Aug</v>
      </c>
      <c r="I496" s="54">
        <f ca="1">DATEDIF(G496,TODAY(),"Y")</f>
        <v>15</v>
      </c>
      <c r="J496" s="55" t="s">
        <v>267</v>
      </c>
      <c r="K496" s="56">
        <v>61150</v>
      </c>
      <c r="L496" s="57">
        <v>4</v>
      </c>
      <c r="M496" s="62">
        <f>ROUND(K496*P494+K496,0)</f>
        <v>61150</v>
      </c>
    </row>
    <row r="497" spans="1:17" x14ac:dyDescent="0.25">
      <c r="A497" s="42" t="s">
        <v>709</v>
      </c>
      <c r="B497" s="49" t="s">
        <v>245</v>
      </c>
      <c r="C497" s="42" t="s">
        <v>705</v>
      </c>
      <c r="D497" s="105">
        <v>972791650</v>
      </c>
      <c r="E497" s="105">
        <v>2525236892</v>
      </c>
      <c r="F497" s="42" t="s">
        <v>261</v>
      </c>
      <c r="G497" s="84">
        <f>36924+(364+182)</f>
        <v>37470</v>
      </c>
      <c r="H497" s="53" t="str">
        <f>CHOOSE(MONTH(G497),"Jan","Feb","Mar","Apr","May","Jun","Jul","Aug","Sep","Oct","Nov","Dec")</f>
        <v>Aug</v>
      </c>
      <c r="I497" s="54">
        <f ca="1">DATEDIF(G497,TODAY(),"Y")</f>
        <v>14</v>
      </c>
      <c r="J497" s="55" t="s">
        <v>257</v>
      </c>
      <c r="K497" s="56">
        <v>33810</v>
      </c>
      <c r="L497" s="57">
        <v>5</v>
      </c>
      <c r="M497" s="62">
        <f>ROUND(K497*P495+K497,0)</f>
        <v>33810</v>
      </c>
    </row>
    <row r="498" spans="1:17" x14ac:dyDescent="0.25">
      <c r="A498" s="42" t="s">
        <v>991</v>
      </c>
      <c r="B498" s="49" t="s">
        <v>251</v>
      </c>
      <c r="C498" s="42" t="s">
        <v>930</v>
      </c>
      <c r="D498" s="105">
        <v>120361975</v>
      </c>
      <c r="E498" s="105">
        <v>2521789943</v>
      </c>
      <c r="F498" s="42" t="s">
        <v>256</v>
      </c>
      <c r="G498" s="84">
        <f>36949+(364+182)</f>
        <v>37495</v>
      </c>
      <c r="H498" s="53" t="str">
        <f>CHOOSE(MONTH(G498),"Jan","Feb","Mar","Apr","May","Jun","Jul","Aug","Sep","Oct","Nov","Dec")</f>
        <v>Aug</v>
      </c>
      <c r="I498" s="54">
        <f ca="1">DATEDIF(G498,TODAY(),"Y")</f>
        <v>14</v>
      </c>
      <c r="J498" s="55" t="s">
        <v>276</v>
      </c>
      <c r="K498" s="56">
        <v>60300</v>
      </c>
      <c r="L498" s="57">
        <v>2</v>
      </c>
      <c r="M498" s="62">
        <f>ROUND(K498*P496+K498,0)</f>
        <v>60300</v>
      </c>
    </row>
    <row r="499" spans="1:17" x14ac:dyDescent="0.25">
      <c r="A499" s="42" t="s">
        <v>821</v>
      </c>
      <c r="B499" s="49" t="s">
        <v>280</v>
      </c>
      <c r="C499" s="42" t="s">
        <v>767</v>
      </c>
      <c r="D499" s="105">
        <v>886332647</v>
      </c>
      <c r="E499" s="105">
        <v>2526698101</v>
      </c>
      <c r="F499" s="42" t="s">
        <v>256</v>
      </c>
      <c r="G499" s="84">
        <f>37302+(364+182)</f>
        <v>37848</v>
      </c>
      <c r="H499" s="53" t="str">
        <f>CHOOSE(MONTH(G499),"Jan","Feb","Mar","Apr","May","Jun","Jul","Aug","Sep","Oct","Nov","Dec")</f>
        <v>Aug</v>
      </c>
      <c r="I499" s="54">
        <f ca="1">DATEDIF(G499,TODAY(),"Y")</f>
        <v>13</v>
      </c>
      <c r="J499" s="55" t="s">
        <v>262</v>
      </c>
      <c r="K499" s="56">
        <v>76910</v>
      </c>
      <c r="L499" s="57">
        <v>2</v>
      </c>
      <c r="M499" s="62">
        <f>ROUND(K499*P497+K499,0)</f>
        <v>76910</v>
      </c>
      <c r="P499" s="78"/>
      <c r="Q499" s="78"/>
    </row>
    <row r="500" spans="1:17" x14ac:dyDescent="0.25">
      <c r="A500" s="42" t="s">
        <v>711</v>
      </c>
      <c r="B500" s="49" t="s">
        <v>271</v>
      </c>
      <c r="C500" s="42" t="s">
        <v>705</v>
      </c>
      <c r="D500" s="105">
        <v>972086665</v>
      </c>
      <c r="E500" s="105">
        <v>2526007063</v>
      </c>
      <c r="F500" s="42" t="s">
        <v>256</v>
      </c>
      <c r="G500" s="84">
        <f>37681+(364+182)</f>
        <v>38227</v>
      </c>
      <c r="H500" s="53" t="str">
        <f>CHOOSE(MONTH(G500),"Jan","Feb","Mar","Apr","May","Jun","Jul","Aug","Sep","Oct","Nov","Dec")</f>
        <v>Aug</v>
      </c>
      <c r="I500" s="54">
        <f ca="1">DATEDIF(G500,TODAY(),"Y")</f>
        <v>12</v>
      </c>
      <c r="J500" s="55" t="s">
        <v>283</v>
      </c>
      <c r="K500" s="56">
        <v>86200</v>
      </c>
      <c r="L500" s="57">
        <v>3</v>
      </c>
      <c r="M500" s="62">
        <f>ROUND(K500*P498+K500,0)</f>
        <v>86200</v>
      </c>
    </row>
    <row r="501" spans="1:17" x14ac:dyDescent="0.25">
      <c r="A501" s="42" t="s">
        <v>410</v>
      </c>
      <c r="B501" s="49" t="s">
        <v>285</v>
      </c>
      <c r="C501" s="42" t="s">
        <v>411</v>
      </c>
      <c r="D501" s="105">
        <v>850210766</v>
      </c>
      <c r="E501" s="105">
        <v>2527838614</v>
      </c>
      <c r="F501" s="42" t="s">
        <v>256</v>
      </c>
      <c r="G501" s="84">
        <f>38041+(364+182)</f>
        <v>38587</v>
      </c>
      <c r="H501" s="53" t="str">
        <f>CHOOSE(MONTH(G501),"Jan","Feb","Mar","Apr","May","Jun","Jul","Aug","Sep","Oct","Nov","Dec")</f>
        <v>Aug</v>
      </c>
      <c r="I501" s="54">
        <f ca="1">DATEDIF(G501,TODAY(),"Y")</f>
        <v>11</v>
      </c>
      <c r="J501" s="55" t="s">
        <v>257</v>
      </c>
      <c r="K501" s="56">
        <v>47350</v>
      </c>
      <c r="L501" s="57">
        <v>5</v>
      </c>
      <c r="M501" s="62">
        <f>ROUND(K501*P499+K501,0)</f>
        <v>47350</v>
      </c>
    </row>
    <row r="502" spans="1:17" x14ac:dyDescent="0.25">
      <c r="A502" s="42" t="s">
        <v>721</v>
      </c>
      <c r="B502" s="49" t="s">
        <v>251</v>
      </c>
      <c r="C502" s="42" t="s">
        <v>705</v>
      </c>
      <c r="D502" s="105">
        <v>120479503</v>
      </c>
      <c r="E502" s="105">
        <v>9196069116</v>
      </c>
      <c r="F502" s="42" t="s">
        <v>261</v>
      </c>
      <c r="G502" s="84">
        <f>38753+(364+182)</f>
        <v>39299</v>
      </c>
      <c r="H502" s="53" t="str">
        <f>CHOOSE(MONTH(G502),"Jan","Feb","Mar","Apr","May","Jun","Jul","Aug","Sep","Oct","Nov","Dec")</f>
        <v>Aug</v>
      </c>
      <c r="I502" s="54">
        <f ca="1">DATEDIF(G502,TODAY(),"Y")</f>
        <v>9</v>
      </c>
      <c r="J502" s="55" t="s">
        <v>276</v>
      </c>
      <c r="K502" s="56">
        <v>47760</v>
      </c>
      <c r="L502" s="57">
        <v>3</v>
      </c>
      <c r="M502" s="62">
        <f>ROUND(K502*P500+K502,0)</f>
        <v>47760</v>
      </c>
    </row>
    <row r="503" spans="1:17" x14ac:dyDescent="0.25">
      <c r="A503" s="42" t="s">
        <v>539</v>
      </c>
      <c r="B503" s="49" t="s">
        <v>266</v>
      </c>
      <c r="C503" s="42" t="s">
        <v>465</v>
      </c>
      <c r="D503" s="105">
        <v>858800513</v>
      </c>
      <c r="E503" s="105">
        <v>9193547588</v>
      </c>
      <c r="F503" s="42" t="s">
        <v>256</v>
      </c>
      <c r="G503" s="84">
        <f>38766+(364+182)</f>
        <v>39312</v>
      </c>
      <c r="H503" s="53" t="str">
        <f>CHOOSE(MONTH(G503),"Jan","Feb","Mar","Apr","May","Jun","Jul","Aug","Sep","Oct","Nov","Dec")</f>
        <v>Aug</v>
      </c>
      <c r="I503" s="54">
        <f ca="1">DATEDIF(G503,TODAY(),"Y")</f>
        <v>9</v>
      </c>
      <c r="J503" s="55" t="s">
        <v>262</v>
      </c>
      <c r="K503" s="56">
        <v>71030</v>
      </c>
      <c r="L503" s="57">
        <v>3</v>
      </c>
      <c r="M503" s="62">
        <f>ROUND(K503*P501+K503,0)</f>
        <v>71030</v>
      </c>
    </row>
    <row r="504" spans="1:17" x14ac:dyDescent="0.25">
      <c r="A504" s="42" t="s">
        <v>732</v>
      </c>
      <c r="B504" s="49" t="s">
        <v>266</v>
      </c>
      <c r="C504" s="42" t="s">
        <v>705</v>
      </c>
      <c r="D504" s="105">
        <v>443238477</v>
      </c>
      <c r="E504" s="105">
        <v>9198624601</v>
      </c>
      <c r="F504" s="42" t="s">
        <v>256</v>
      </c>
      <c r="G504" s="84">
        <f>39132+(364+182)</f>
        <v>39678</v>
      </c>
      <c r="H504" s="53" t="str">
        <f>CHOOSE(MONTH(G504),"Jan","Feb","Mar","Apr","May","Jun","Jul","Aug","Sep","Oct","Nov","Dec")</f>
        <v>Aug</v>
      </c>
      <c r="I504" s="54">
        <f ca="1">DATEDIF(G504,TODAY(),"Y")</f>
        <v>8</v>
      </c>
      <c r="J504" s="55" t="s">
        <v>283</v>
      </c>
      <c r="K504" s="56">
        <v>80090</v>
      </c>
      <c r="L504" s="57">
        <v>2</v>
      </c>
      <c r="M504" s="62">
        <f>ROUND(K504*P502+K504,0)</f>
        <v>80090</v>
      </c>
    </row>
    <row r="505" spans="1:17" x14ac:dyDescent="0.25">
      <c r="A505" s="42" t="s">
        <v>1001</v>
      </c>
      <c r="B505" s="49" t="s">
        <v>280</v>
      </c>
      <c r="C505" s="42" t="s">
        <v>930</v>
      </c>
      <c r="D505" s="105">
        <v>651999482</v>
      </c>
      <c r="E505" s="105">
        <v>2523014821</v>
      </c>
      <c r="F505" s="42" t="s">
        <v>256</v>
      </c>
      <c r="G505" s="84">
        <f>39133+(364+182)</f>
        <v>39679</v>
      </c>
      <c r="H505" s="53" t="str">
        <f>CHOOSE(MONTH(G505),"Jan","Feb","Mar","Apr","May","Jun","Jul","Aug","Sep","Oct","Nov","Dec")</f>
        <v>Aug</v>
      </c>
      <c r="I505" s="54">
        <f ca="1">DATEDIF(G505,TODAY(),"Y")</f>
        <v>8</v>
      </c>
      <c r="J505" s="55" t="s">
        <v>257</v>
      </c>
      <c r="K505" s="56">
        <v>22820</v>
      </c>
      <c r="L505" s="57">
        <v>5</v>
      </c>
      <c r="M505" s="62">
        <f>ROUND(K505*P503+K505,0)</f>
        <v>22820</v>
      </c>
    </row>
    <row r="506" spans="1:17" x14ac:dyDescent="0.25">
      <c r="A506" s="42" t="s">
        <v>449</v>
      </c>
      <c r="B506" s="49" t="s">
        <v>251</v>
      </c>
      <c r="C506" s="42" t="s">
        <v>417</v>
      </c>
      <c r="D506" s="105">
        <v>281005046</v>
      </c>
      <c r="E506" s="105">
        <v>2527051004</v>
      </c>
      <c r="F506" s="42" t="s">
        <v>247</v>
      </c>
      <c r="G506" s="84">
        <f>39508+(364+182)</f>
        <v>40054</v>
      </c>
      <c r="H506" s="53" t="str">
        <f>CHOOSE(MONTH(G506),"Jan","Feb","Mar","Apr","May","Jun","Jul","Aug","Sep","Oct","Nov","Dec")</f>
        <v>Aug</v>
      </c>
      <c r="I506" s="54">
        <f ca="1">DATEDIF(G506,TODAY(),"Y")</f>
        <v>7</v>
      </c>
      <c r="J506" s="55"/>
      <c r="K506" s="56">
        <v>56920</v>
      </c>
      <c r="L506" s="57">
        <v>4</v>
      </c>
      <c r="M506" s="62">
        <f>ROUND(K506*P504+K506,0)</f>
        <v>56920</v>
      </c>
    </row>
    <row r="507" spans="1:17" x14ac:dyDescent="0.25">
      <c r="A507" s="42" t="s">
        <v>706</v>
      </c>
      <c r="B507" s="49" t="s">
        <v>266</v>
      </c>
      <c r="C507" s="42" t="s">
        <v>705</v>
      </c>
      <c r="D507" s="105">
        <v>851400058</v>
      </c>
      <c r="E507" s="105">
        <v>9196012031</v>
      </c>
      <c r="F507" s="42" t="s">
        <v>261</v>
      </c>
      <c r="G507" s="106">
        <f>39847+(364+182)</f>
        <v>40393</v>
      </c>
      <c r="H507" s="53" t="str">
        <f>CHOOSE(MONTH(G507),"Jan","Feb","Mar","Apr","May","Jun","Jul","Aug","Sep","Oct","Nov","Dec")</f>
        <v>Aug</v>
      </c>
      <c r="I507" s="54">
        <f ca="1">DATEDIF(G507,TODAY(),"Y")</f>
        <v>6</v>
      </c>
      <c r="J507" s="55" t="s">
        <v>257</v>
      </c>
      <c r="K507" s="56">
        <v>16925</v>
      </c>
      <c r="L507" s="57">
        <v>1</v>
      </c>
      <c r="M507" s="62">
        <f>ROUND(K507*P505+K507,0)</f>
        <v>16925</v>
      </c>
    </row>
    <row r="508" spans="1:17" x14ac:dyDescent="0.25">
      <c r="A508" s="42" t="s">
        <v>424</v>
      </c>
      <c r="B508" s="49" t="s">
        <v>271</v>
      </c>
      <c r="C508" s="42" t="s">
        <v>417</v>
      </c>
      <c r="D508" s="105">
        <v>518690148</v>
      </c>
      <c r="E508" s="105">
        <v>2526500529</v>
      </c>
      <c r="F508" s="42" t="s">
        <v>256</v>
      </c>
      <c r="G508" s="84">
        <f>39853+(364+182)</f>
        <v>40399</v>
      </c>
      <c r="H508" s="53" t="str">
        <f>CHOOSE(MONTH(G508),"Jan","Feb","Mar","Apr","May","Jun","Jul","Aug","Sep","Oct","Nov","Dec")</f>
        <v>Aug</v>
      </c>
      <c r="I508" s="54">
        <f ca="1">DATEDIF(G508,TODAY(),"Y")</f>
        <v>6</v>
      </c>
      <c r="J508" s="55" t="s">
        <v>267</v>
      </c>
      <c r="K508" s="56">
        <v>32640</v>
      </c>
      <c r="L508" s="57">
        <v>4</v>
      </c>
      <c r="M508" s="62">
        <f>ROUND(K508*P506+K508,0)</f>
        <v>32640</v>
      </c>
    </row>
    <row r="509" spans="1:17" x14ac:dyDescent="0.25">
      <c r="A509" s="42" t="s">
        <v>413</v>
      </c>
      <c r="B509" s="49" t="s">
        <v>245</v>
      </c>
      <c r="C509" s="42" t="s">
        <v>411</v>
      </c>
      <c r="D509" s="105">
        <v>914041569</v>
      </c>
      <c r="E509" s="105">
        <v>9196082608</v>
      </c>
      <c r="F509" s="42" t="s">
        <v>256</v>
      </c>
      <c r="G509" s="106">
        <f>39854+(364+182)</f>
        <v>40400</v>
      </c>
      <c r="H509" s="53" t="str">
        <f>CHOOSE(MONTH(G509),"Jan","Feb","Mar","Apr","May","Jun","Jul","Aug","Sep","Oct","Nov","Dec")</f>
        <v>Aug</v>
      </c>
      <c r="I509" s="54">
        <f ca="1">DATEDIF(G509,TODAY(),"Y")</f>
        <v>6</v>
      </c>
      <c r="J509" s="55" t="s">
        <v>283</v>
      </c>
      <c r="K509" s="56">
        <v>79150</v>
      </c>
      <c r="L509" s="57">
        <v>2</v>
      </c>
      <c r="M509" s="62">
        <f>ROUND(K509*P507+K509,0)</f>
        <v>79150</v>
      </c>
    </row>
    <row r="510" spans="1:17" x14ac:dyDescent="0.25">
      <c r="A510" s="42" t="s">
        <v>741</v>
      </c>
      <c r="B510" s="49" t="s">
        <v>245</v>
      </c>
      <c r="C510" s="42" t="s">
        <v>705</v>
      </c>
      <c r="D510" s="105">
        <v>623823805</v>
      </c>
      <c r="E510" s="105">
        <v>9192602559</v>
      </c>
      <c r="F510" s="42" t="s">
        <v>252</v>
      </c>
      <c r="G510" s="112">
        <f>39857+(364+182)</f>
        <v>40403</v>
      </c>
      <c r="H510" s="53" t="str">
        <f>CHOOSE(MONTH(G510),"Jan","Feb","Mar","Apr","May","Jun","Jul","Aug","Sep","Oct","Nov","Dec")</f>
        <v>Aug</v>
      </c>
      <c r="I510" s="54">
        <f ca="1">DATEDIF(G510,TODAY(),"Y")</f>
        <v>6</v>
      </c>
      <c r="J510" s="55"/>
      <c r="K510" s="56">
        <v>15056</v>
      </c>
      <c r="L510" s="57">
        <v>5</v>
      </c>
      <c r="M510" s="62">
        <f>ROUND(K510*P508+K510,0)</f>
        <v>15056</v>
      </c>
    </row>
    <row r="511" spans="1:17" x14ac:dyDescent="0.25">
      <c r="A511" s="42" t="s">
        <v>851</v>
      </c>
      <c r="B511" s="49" t="s">
        <v>271</v>
      </c>
      <c r="C511" s="42" t="s">
        <v>767</v>
      </c>
      <c r="D511" s="105">
        <v>278129861</v>
      </c>
      <c r="E511" s="105">
        <v>9198561246</v>
      </c>
      <c r="F511" s="42" t="s">
        <v>247</v>
      </c>
      <c r="G511" s="106">
        <f>39858+(364+182)</f>
        <v>40404</v>
      </c>
      <c r="H511" s="53" t="str">
        <f>CHOOSE(MONTH(G511),"Jan","Feb","Mar","Apr","May","Jun","Jul","Aug","Sep","Oct","Nov","Dec")</f>
        <v>Aug</v>
      </c>
      <c r="I511" s="54">
        <f ca="1">DATEDIF(G511,TODAY(),"Y")</f>
        <v>6</v>
      </c>
      <c r="J511" s="55"/>
      <c r="K511" s="56">
        <v>39550</v>
      </c>
      <c r="L511" s="57">
        <v>5</v>
      </c>
      <c r="M511" s="62">
        <f>ROUND(K511*P509+K511,0)</f>
        <v>39550</v>
      </c>
    </row>
    <row r="512" spans="1:17" x14ac:dyDescent="0.25">
      <c r="A512" s="42" t="s">
        <v>781</v>
      </c>
      <c r="B512" s="49" t="s">
        <v>245</v>
      </c>
      <c r="C512" s="42" t="s">
        <v>767</v>
      </c>
      <c r="D512" s="105">
        <v>502200672</v>
      </c>
      <c r="E512" s="105">
        <v>2527925201</v>
      </c>
      <c r="F512" s="42" t="s">
        <v>247</v>
      </c>
      <c r="G512" s="106">
        <f>39864+(364+182)</f>
        <v>40410</v>
      </c>
      <c r="H512" s="53" t="str">
        <f>CHOOSE(MONTH(G512),"Jan","Feb","Mar","Apr","May","Jun","Jul","Aug","Sep","Oct","Nov","Dec")</f>
        <v>Aug</v>
      </c>
      <c r="I512" s="54">
        <f ca="1">DATEDIF(G512,TODAY(),"Y")</f>
        <v>6</v>
      </c>
      <c r="J512" s="55"/>
      <c r="K512" s="56">
        <v>57680</v>
      </c>
      <c r="L512" s="57">
        <v>4</v>
      </c>
      <c r="M512" s="62">
        <f>ROUND(K512*P510+K512,0)</f>
        <v>57680</v>
      </c>
    </row>
    <row r="513" spans="1:15" x14ac:dyDescent="0.25">
      <c r="A513" s="42" t="s">
        <v>846</v>
      </c>
      <c r="B513" s="49" t="s">
        <v>245</v>
      </c>
      <c r="C513" s="42" t="s">
        <v>767</v>
      </c>
      <c r="D513" s="105">
        <v>570756015</v>
      </c>
      <c r="E513" s="105">
        <v>2522238535</v>
      </c>
      <c r="F513" s="42" t="s">
        <v>261</v>
      </c>
      <c r="G513" s="106">
        <f>39875+(364+182)</f>
        <v>40421</v>
      </c>
      <c r="H513" s="53" t="str">
        <f>CHOOSE(MONTH(G513),"Jan","Feb","Mar","Apr","May","Jun","Jul","Aug","Sep","Oct","Nov","Dec")</f>
        <v>Aug</v>
      </c>
      <c r="I513" s="54">
        <f ca="1">DATEDIF(G513,TODAY(),"Y")</f>
        <v>6</v>
      </c>
      <c r="J513" s="55" t="s">
        <v>262</v>
      </c>
      <c r="K513" s="56">
        <v>49355</v>
      </c>
      <c r="L513" s="57">
        <v>5</v>
      </c>
      <c r="M513" s="62">
        <f>ROUND(K513*P511+K513,0)</f>
        <v>49355</v>
      </c>
    </row>
    <row r="514" spans="1:15" x14ac:dyDescent="0.25">
      <c r="A514" s="42" t="s">
        <v>441</v>
      </c>
      <c r="B514" s="49" t="s">
        <v>271</v>
      </c>
      <c r="C514" s="42" t="s">
        <v>417</v>
      </c>
      <c r="D514" s="105">
        <v>113699123</v>
      </c>
      <c r="E514" s="105">
        <v>2526563683</v>
      </c>
      <c r="F514" s="42" t="s">
        <v>256</v>
      </c>
      <c r="G514" s="84">
        <f>32571+(364+182)</f>
        <v>33117</v>
      </c>
      <c r="H514" s="53" t="str">
        <f>CHOOSE(MONTH(G514),"Jan","Feb","Mar","Apr","May","Jun","Jul","Aug","Sep","Oct","Nov","Dec")</f>
        <v>Sep</v>
      </c>
      <c r="I514" s="54">
        <f ca="1">DATEDIF(G514,TODAY(),"Y")</f>
        <v>26</v>
      </c>
      <c r="J514" s="55" t="s">
        <v>267</v>
      </c>
      <c r="K514" s="56">
        <v>35360</v>
      </c>
      <c r="L514" s="57">
        <v>5</v>
      </c>
      <c r="M514" s="62">
        <f>ROUND(K514*P512+K514,0)</f>
        <v>35360</v>
      </c>
    </row>
    <row r="515" spans="1:15" x14ac:dyDescent="0.25">
      <c r="A515" s="42" t="s">
        <v>791</v>
      </c>
      <c r="B515" s="49" t="s">
        <v>285</v>
      </c>
      <c r="C515" s="42" t="s">
        <v>767</v>
      </c>
      <c r="D515" s="105">
        <v>528258211</v>
      </c>
      <c r="E515" s="105">
        <v>9194727385</v>
      </c>
      <c r="F515" s="42" t="s">
        <v>256</v>
      </c>
      <c r="G515" s="84">
        <f>32582+(364+182)</f>
        <v>33128</v>
      </c>
      <c r="H515" s="53" t="str">
        <f>CHOOSE(MONTH(G515),"Jan","Feb","Mar","Apr","May","Jun","Jul","Aug","Sep","Oct","Nov","Dec")</f>
        <v>Sep</v>
      </c>
      <c r="I515" s="54">
        <f ca="1">DATEDIF(G515,TODAY(),"Y")</f>
        <v>26</v>
      </c>
      <c r="J515" s="55" t="s">
        <v>267</v>
      </c>
      <c r="K515" s="56">
        <v>46110</v>
      </c>
      <c r="L515" s="57">
        <v>4</v>
      </c>
      <c r="M515" s="62">
        <f>ROUND(K515*P513+K515,0)</f>
        <v>46110</v>
      </c>
    </row>
    <row r="516" spans="1:15" x14ac:dyDescent="0.25">
      <c r="A516" s="42" t="s">
        <v>953</v>
      </c>
      <c r="B516" s="49" t="s">
        <v>285</v>
      </c>
      <c r="C516" s="42" t="s">
        <v>930</v>
      </c>
      <c r="D516" s="105">
        <v>904497673</v>
      </c>
      <c r="E516" s="105">
        <v>2521277028</v>
      </c>
      <c r="F516" s="42" t="s">
        <v>247</v>
      </c>
      <c r="G516" s="84">
        <f>32598+(364+182)</f>
        <v>33144</v>
      </c>
      <c r="H516" s="53" t="str">
        <f>CHOOSE(MONTH(G516),"Jan","Feb","Mar","Apr","May","Jun","Jul","Aug","Sep","Oct","Nov","Dec")</f>
        <v>Sep</v>
      </c>
      <c r="I516" s="54">
        <f ca="1">DATEDIF(G516,TODAY(),"Y")</f>
        <v>26</v>
      </c>
      <c r="J516" s="55"/>
      <c r="K516" s="56">
        <v>23340</v>
      </c>
      <c r="L516" s="57">
        <v>4</v>
      </c>
      <c r="M516" s="62">
        <f>ROUND(K516*P514+K516,0)</f>
        <v>23340</v>
      </c>
    </row>
    <row r="517" spans="1:15" x14ac:dyDescent="0.25">
      <c r="A517" s="48" t="s">
        <v>279</v>
      </c>
      <c r="B517" s="49" t="s">
        <v>280</v>
      </c>
      <c r="C517" s="48" t="s">
        <v>272</v>
      </c>
      <c r="D517" s="109">
        <v>415076748</v>
      </c>
      <c r="E517" s="109">
        <v>9195230846</v>
      </c>
      <c r="F517" s="48" t="s">
        <v>252</v>
      </c>
      <c r="G517" s="108">
        <f>32936+(364+182)</f>
        <v>33482</v>
      </c>
      <c r="H517" s="53" t="str">
        <f>CHOOSE(MONTH(G517),"Jan","Feb","Mar","Apr","May","Jun","Jul","Aug","Sep","Oct","Nov","Dec")</f>
        <v>Sep</v>
      </c>
      <c r="I517" s="54">
        <f ca="1">DATEDIF(G517,TODAY(),"Y")</f>
        <v>25</v>
      </c>
      <c r="J517" s="55" t="s">
        <v>257</v>
      </c>
      <c r="K517" s="56">
        <v>29070</v>
      </c>
      <c r="L517" s="57">
        <v>3</v>
      </c>
      <c r="M517" s="62">
        <f>ROUND(K517*P515+K517,0)</f>
        <v>29070</v>
      </c>
      <c r="O517" s="107"/>
    </row>
    <row r="518" spans="1:15" x14ac:dyDescent="0.25">
      <c r="A518" s="42" t="s">
        <v>957</v>
      </c>
      <c r="B518" s="49" t="s">
        <v>285</v>
      </c>
      <c r="C518" s="42" t="s">
        <v>930</v>
      </c>
      <c r="D518" s="105">
        <v>970466937</v>
      </c>
      <c r="E518" s="105">
        <v>9192042331</v>
      </c>
      <c r="F518" s="42" t="s">
        <v>247</v>
      </c>
      <c r="G518" s="84">
        <f>32949+(364+182)</f>
        <v>33495</v>
      </c>
      <c r="H518" s="53" t="str">
        <f>CHOOSE(MONTH(G518),"Jan","Feb","Mar","Apr","May","Jun","Jul","Aug","Sep","Oct","Nov","Dec")</f>
        <v>Sep</v>
      </c>
      <c r="I518" s="54">
        <f ca="1">DATEDIF(G518,TODAY(),"Y")</f>
        <v>25</v>
      </c>
      <c r="J518" s="55"/>
      <c r="K518" s="56">
        <v>62480</v>
      </c>
      <c r="L518" s="57">
        <v>5</v>
      </c>
      <c r="M518" s="62">
        <f>ROUND(K518*P516+K518,0)</f>
        <v>62480</v>
      </c>
    </row>
    <row r="519" spans="1:15" x14ac:dyDescent="0.25">
      <c r="A519" s="42" t="s">
        <v>704</v>
      </c>
      <c r="B519" s="49" t="s">
        <v>271</v>
      </c>
      <c r="C519" s="42" t="s">
        <v>705</v>
      </c>
      <c r="D519" s="105">
        <v>290385638</v>
      </c>
      <c r="E519" s="105">
        <v>9194518022</v>
      </c>
      <c r="F519" s="42" t="s">
        <v>261</v>
      </c>
      <c r="G519" s="84">
        <f>32956+(364+182)</f>
        <v>33502</v>
      </c>
      <c r="H519" s="53" t="str">
        <f>CHOOSE(MONTH(G519),"Jan","Feb","Mar","Apr","May","Jun","Jul","Aug","Sep","Oct","Nov","Dec")</f>
        <v>Sep</v>
      </c>
      <c r="I519" s="54">
        <f ca="1">DATEDIF(G519,TODAY(),"Y")</f>
        <v>25</v>
      </c>
      <c r="J519" s="55" t="s">
        <v>262</v>
      </c>
      <c r="K519" s="56">
        <v>35045</v>
      </c>
      <c r="L519" s="57">
        <v>4</v>
      </c>
      <c r="M519" s="62">
        <f>ROUND(K519*P517+K519,0)</f>
        <v>35045</v>
      </c>
    </row>
    <row r="520" spans="1:15" x14ac:dyDescent="0.25">
      <c r="A520" s="42" t="s">
        <v>983</v>
      </c>
      <c r="B520" s="49" t="s">
        <v>271</v>
      </c>
      <c r="C520" s="42" t="s">
        <v>930</v>
      </c>
      <c r="D520" s="105">
        <v>111616346</v>
      </c>
      <c r="E520" s="105">
        <v>2525717431</v>
      </c>
      <c r="F520" s="42" t="s">
        <v>247</v>
      </c>
      <c r="G520" s="84">
        <f>32960+(364+182)</f>
        <v>33506</v>
      </c>
      <c r="H520" s="53" t="str">
        <f>CHOOSE(MONTH(G520),"Jan","Feb","Mar","Apr","May","Jun","Jul","Aug","Sep","Oct","Nov","Dec")</f>
        <v>Sep</v>
      </c>
      <c r="I520" s="54">
        <f ca="1">DATEDIF(G520,TODAY(),"Y")</f>
        <v>25</v>
      </c>
      <c r="J520" s="55"/>
      <c r="K520" s="56">
        <v>61134</v>
      </c>
      <c r="L520" s="57">
        <v>4</v>
      </c>
      <c r="M520" s="62">
        <f>ROUND(K520*P518+K520,0)</f>
        <v>61134</v>
      </c>
    </row>
    <row r="521" spans="1:15" x14ac:dyDescent="0.25">
      <c r="A521" s="42" t="s">
        <v>796</v>
      </c>
      <c r="B521" s="49" t="s">
        <v>271</v>
      </c>
      <c r="C521" s="42" t="s">
        <v>767</v>
      </c>
      <c r="D521" s="105">
        <v>561530671</v>
      </c>
      <c r="E521" s="105">
        <v>9192999652</v>
      </c>
      <c r="F521" s="42" t="s">
        <v>256</v>
      </c>
      <c r="G521" s="84">
        <f>32964+(364+182)</f>
        <v>33510</v>
      </c>
      <c r="H521" s="53" t="str">
        <f>CHOOSE(MONTH(G521),"Jan","Feb","Mar","Apr","May","Jun","Jul","Aug","Sep","Oct","Nov","Dec")</f>
        <v>Sep</v>
      </c>
      <c r="I521" s="54">
        <f ca="1">DATEDIF(G521,TODAY(),"Y")</f>
        <v>25</v>
      </c>
      <c r="J521" s="55" t="s">
        <v>262</v>
      </c>
      <c r="K521" s="56">
        <v>54500</v>
      </c>
      <c r="L521" s="57">
        <v>5</v>
      </c>
      <c r="M521" s="62">
        <f>ROUND(K521*P519+K521,0)</f>
        <v>54500</v>
      </c>
    </row>
    <row r="522" spans="1:15" x14ac:dyDescent="0.25">
      <c r="A522" s="42" t="s">
        <v>925</v>
      </c>
      <c r="B522" s="49" t="s">
        <v>271</v>
      </c>
      <c r="C522" s="42" t="s">
        <v>856</v>
      </c>
      <c r="D522" s="105">
        <v>627977314</v>
      </c>
      <c r="E522" s="105">
        <v>2521525844</v>
      </c>
      <c r="F522" s="42" t="s">
        <v>256</v>
      </c>
      <c r="G522" s="84">
        <f>33306+(364+182)</f>
        <v>33852</v>
      </c>
      <c r="H522" s="53" t="str">
        <f>CHOOSE(MONTH(G522),"Jan","Feb","Mar","Apr","May","Jun","Jul","Aug","Sep","Oct","Nov","Dec")</f>
        <v>Sep</v>
      </c>
      <c r="I522" s="54">
        <f ca="1">DATEDIF(G522,TODAY(),"Y")</f>
        <v>24</v>
      </c>
      <c r="J522" s="55" t="s">
        <v>276</v>
      </c>
      <c r="K522" s="56">
        <v>86240</v>
      </c>
      <c r="L522" s="57">
        <v>1</v>
      </c>
      <c r="M522" s="62">
        <f>ROUND(K522*P520+K522,0)</f>
        <v>86240</v>
      </c>
    </row>
    <row r="523" spans="1:15" x14ac:dyDescent="0.25">
      <c r="A523" s="42" t="s">
        <v>421</v>
      </c>
      <c r="B523" s="49" t="s">
        <v>280</v>
      </c>
      <c r="C523" s="42" t="s">
        <v>417</v>
      </c>
      <c r="D523" s="105">
        <v>291841866</v>
      </c>
      <c r="E523" s="105">
        <v>9191534053</v>
      </c>
      <c r="F523" s="42" t="s">
        <v>256</v>
      </c>
      <c r="G523" s="84">
        <f>33326+(364+182)</f>
        <v>33872</v>
      </c>
      <c r="H523" s="53" t="str">
        <f>CHOOSE(MONTH(G523),"Jan","Feb","Mar","Apr","May","Jun","Jul","Aug","Sep","Oct","Nov","Dec")</f>
        <v>Sep</v>
      </c>
      <c r="I523" s="54">
        <f ca="1">DATEDIF(G523,TODAY(),"Y")</f>
        <v>24</v>
      </c>
      <c r="J523" s="55" t="s">
        <v>257</v>
      </c>
      <c r="K523" s="56">
        <v>64510</v>
      </c>
      <c r="L523" s="57">
        <v>3</v>
      </c>
      <c r="M523" s="62">
        <f>ROUND(K523*P521+K523,0)</f>
        <v>64510</v>
      </c>
    </row>
    <row r="524" spans="1:15" x14ac:dyDescent="0.25">
      <c r="A524" s="42" t="s">
        <v>451</v>
      </c>
      <c r="B524" s="49" t="s">
        <v>271</v>
      </c>
      <c r="C524" s="42" t="s">
        <v>417</v>
      </c>
      <c r="D524" s="105">
        <v>603301910</v>
      </c>
      <c r="E524" s="105">
        <v>9196514650</v>
      </c>
      <c r="F524" s="42" t="s">
        <v>256</v>
      </c>
      <c r="G524" s="84">
        <f>33667+(364+182)</f>
        <v>34213</v>
      </c>
      <c r="H524" s="53" t="str">
        <f>CHOOSE(MONTH(G524),"Jan","Feb","Mar","Apr","May","Jun","Jul","Aug","Sep","Oct","Nov","Dec")</f>
        <v>Sep</v>
      </c>
      <c r="I524" s="54">
        <f ca="1">DATEDIF(G524,TODAY(),"Y")</f>
        <v>23</v>
      </c>
      <c r="J524" s="55" t="s">
        <v>257</v>
      </c>
      <c r="K524" s="56">
        <v>72900</v>
      </c>
      <c r="L524" s="57">
        <v>3</v>
      </c>
      <c r="M524" s="62">
        <f>ROUND(K524*P522+K524,0)</f>
        <v>72900</v>
      </c>
    </row>
    <row r="525" spans="1:15" x14ac:dyDescent="0.25">
      <c r="A525" s="42" t="s">
        <v>771</v>
      </c>
      <c r="B525" s="49" t="s">
        <v>271</v>
      </c>
      <c r="C525" s="42" t="s">
        <v>767</v>
      </c>
      <c r="D525" s="105">
        <v>313358310</v>
      </c>
      <c r="E525" s="105">
        <v>9195442791</v>
      </c>
      <c r="F525" s="42" t="s">
        <v>256</v>
      </c>
      <c r="G525" s="84">
        <f>33676+(364+182)</f>
        <v>34222</v>
      </c>
      <c r="H525" s="53" t="str">
        <f>CHOOSE(MONTH(G525),"Jan","Feb","Mar","Apr","May","Jun","Jul","Aug","Sep","Oct","Nov","Dec")</f>
        <v>Sep</v>
      </c>
      <c r="I525" s="54">
        <f ca="1">DATEDIF(G525,TODAY(),"Y")</f>
        <v>23</v>
      </c>
      <c r="J525" s="55" t="s">
        <v>257</v>
      </c>
      <c r="K525" s="56">
        <v>62688</v>
      </c>
      <c r="L525" s="57">
        <v>2</v>
      </c>
      <c r="M525" s="62">
        <f>ROUND(K525*P523+K525,0)</f>
        <v>62688</v>
      </c>
    </row>
    <row r="526" spans="1:15" x14ac:dyDescent="0.25">
      <c r="A526" s="42" t="s">
        <v>584</v>
      </c>
      <c r="B526" s="49" t="s">
        <v>251</v>
      </c>
      <c r="C526" s="42" t="s">
        <v>465</v>
      </c>
      <c r="D526" s="105">
        <v>783624212</v>
      </c>
      <c r="E526" s="105">
        <v>9193164024</v>
      </c>
      <c r="F526" s="42" t="s">
        <v>261</v>
      </c>
      <c r="G526" s="84">
        <f>34037+(364+182)</f>
        <v>34583</v>
      </c>
      <c r="H526" s="53" t="str">
        <f>CHOOSE(MONTH(G526),"Jan","Feb","Mar","Apr","May","Jun","Jul","Aug","Sep","Oct","Nov","Dec")</f>
        <v>Sep</v>
      </c>
      <c r="I526" s="54">
        <f ca="1">DATEDIF(G526,TODAY(),"Y")</f>
        <v>22</v>
      </c>
      <c r="J526" s="55" t="s">
        <v>262</v>
      </c>
      <c r="K526" s="56">
        <v>15260</v>
      </c>
      <c r="L526" s="57">
        <v>2</v>
      </c>
      <c r="M526" s="62">
        <f>ROUND(K526*P524+K526,0)</f>
        <v>15260</v>
      </c>
    </row>
    <row r="527" spans="1:15" x14ac:dyDescent="0.25">
      <c r="A527" s="42" t="s">
        <v>632</v>
      </c>
      <c r="B527" s="49" t="s">
        <v>280</v>
      </c>
      <c r="C527" s="42" t="s">
        <v>626</v>
      </c>
      <c r="D527" s="105">
        <v>991764142</v>
      </c>
      <c r="E527" s="105">
        <v>9192490678</v>
      </c>
      <c r="F527" s="42" t="s">
        <v>247</v>
      </c>
      <c r="G527" s="84">
        <f>34401+(364+182)</f>
        <v>34947</v>
      </c>
      <c r="H527" s="53" t="str">
        <f>CHOOSE(MONTH(G527),"Jan","Feb","Mar","Apr","May","Jun","Jul","Aug","Sep","Oct","Nov","Dec")</f>
        <v>Sep</v>
      </c>
      <c r="I527" s="54">
        <f ca="1">DATEDIF(G527,TODAY(),"Y")</f>
        <v>21</v>
      </c>
      <c r="J527" s="55"/>
      <c r="K527" s="56">
        <v>81930</v>
      </c>
      <c r="L527" s="57">
        <v>5</v>
      </c>
      <c r="M527" s="62">
        <f>ROUND(K527*P525+K527,0)</f>
        <v>81930</v>
      </c>
    </row>
    <row r="528" spans="1:15" x14ac:dyDescent="0.25">
      <c r="A528" s="42" t="s">
        <v>995</v>
      </c>
      <c r="B528" s="49" t="s">
        <v>245</v>
      </c>
      <c r="C528" s="42" t="s">
        <v>930</v>
      </c>
      <c r="D528" s="105">
        <v>145495793</v>
      </c>
      <c r="E528" s="105">
        <v>2521603964</v>
      </c>
      <c r="F528" s="42" t="s">
        <v>261</v>
      </c>
      <c r="G528" s="84">
        <f>34414+(364+182)</f>
        <v>34960</v>
      </c>
      <c r="H528" s="53" t="str">
        <f>CHOOSE(MONTH(G528),"Jan","Feb","Mar","Apr","May","Jun","Jul","Aug","Sep","Oct","Nov","Dec")</f>
        <v>Sep</v>
      </c>
      <c r="I528" s="54">
        <f ca="1">DATEDIF(G528,TODAY(),"Y")</f>
        <v>21</v>
      </c>
      <c r="J528" s="55" t="s">
        <v>276</v>
      </c>
      <c r="K528" s="56">
        <v>23000</v>
      </c>
      <c r="L528" s="57">
        <v>4</v>
      </c>
      <c r="M528" s="62">
        <f>ROUND(K528*P526+K528,0)</f>
        <v>23000</v>
      </c>
    </row>
    <row r="529" spans="1:34" x14ac:dyDescent="0.25">
      <c r="A529" s="42" t="s">
        <v>555</v>
      </c>
      <c r="B529" s="49" t="s">
        <v>285</v>
      </c>
      <c r="C529" s="42" t="s">
        <v>465</v>
      </c>
      <c r="D529" s="105">
        <v>565952209</v>
      </c>
      <c r="E529" s="105">
        <v>2522889972</v>
      </c>
      <c r="F529" s="42" t="s">
        <v>256</v>
      </c>
      <c r="G529" s="84">
        <f>34425+(364+182)</f>
        <v>34971</v>
      </c>
      <c r="H529" s="53" t="str">
        <f>CHOOSE(MONTH(G529),"Jan","Feb","Mar","Apr","May","Jun","Jul","Aug","Sep","Oct","Nov","Dec")</f>
        <v>Sep</v>
      </c>
      <c r="I529" s="54">
        <f ca="1">DATEDIF(G529,TODAY(),"Y")</f>
        <v>21</v>
      </c>
      <c r="J529" s="55" t="s">
        <v>283</v>
      </c>
      <c r="K529" s="56">
        <v>67050</v>
      </c>
      <c r="L529" s="57">
        <v>4</v>
      </c>
      <c r="M529" s="62">
        <f>ROUND(K529*P527+K529,0)</f>
        <v>67050</v>
      </c>
    </row>
    <row r="530" spans="1:34" s="87" customFormat="1" x14ac:dyDescent="0.25">
      <c r="A530" s="42" t="s">
        <v>482</v>
      </c>
      <c r="B530" s="49" t="s">
        <v>251</v>
      </c>
      <c r="C530" s="42" t="s">
        <v>465</v>
      </c>
      <c r="D530" s="105">
        <v>682907379</v>
      </c>
      <c r="E530" s="105">
        <v>2521854525</v>
      </c>
      <c r="F530" s="42" t="s">
        <v>256</v>
      </c>
      <c r="G530" s="84">
        <f>34765+(364+182)</f>
        <v>35311</v>
      </c>
      <c r="H530" s="53" t="str">
        <f>CHOOSE(MONTH(G530),"Jan","Feb","Mar","Apr","May","Jun","Jul","Aug","Sep","Oct","Nov","Dec")</f>
        <v>Sep</v>
      </c>
      <c r="I530" s="54">
        <f ca="1">DATEDIF(G530,TODAY(),"Y")</f>
        <v>20</v>
      </c>
      <c r="J530" s="55" t="s">
        <v>267</v>
      </c>
      <c r="K530" s="56">
        <v>39520</v>
      </c>
      <c r="L530" s="57">
        <v>5</v>
      </c>
      <c r="M530" s="62">
        <f>ROUND(K530*P528+K530,0)</f>
        <v>39520</v>
      </c>
      <c r="N530" s="103"/>
      <c r="O530" s="48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</row>
    <row r="531" spans="1:34" s="87" customFormat="1" x14ac:dyDescent="0.25">
      <c r="A531" s="42" t="s">
        <v>415</v>
      </c>
      <c r="B531" s="49" t="s">
        <v>271</v>
      </c>
      <c r="C531" s="42" t="s">
        <v>411</v>
      </c>
      <c r="D531" s="105">
        <v>999789446</v>
      </c>
      <c r="E531" s="105">
        <v>2521696804</v>
      </c>
      <c r="F531" s="42" t="s">
        <v>256</v>
      </c>
      <c r="G531" s="84">
        <f>34783+(364+182)</f>
        <v>35329</v>
      </c>
      <c r="H531" s="53" t="str">
        <f>CHOOSE(MONTH(G531),"Jan","Feb","Mar","Apr","May","Jun","Jul","Aug","Sep","Oct","Nov","Dec")</f>
        <v>Sep</v>
      </c>
      <c r="I531" s="54">
        <f ca="1">DATEDIF(G531,TODAY(),"Y")</f>
        <v>20</v>
      </c>
      <c r="J531" s="55" t="s">
        <v>257</v>
      </c>
      <c r="K531" s="56">
        <v>66740</v>
      </c>
      <c r="L531" s="57">
        <v>2</v>
      </c>
      <c r="M531" s="62">
        <f>ROUND(K531*P529+K531,0)</f>
        <v>66740</v>
      </c>
      <c r="N531" s="103"/>
      <c r="O531" s="48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</row>
    <row r="532" spans="1:34" s="87" customFormat="1" x14ac:dyDescent="0.25">
      <c r="A532" s="42" t="s">
        <v>961</v>
      </c>
      <c r="B532" s="49" t="s">
        <v>280</v>
      </c>
      <c r="C532" s="42" t="s">
        <v>930</v>
      </c>
      <c r="D532" s="105">
        <v>733358713</v>
      </c>
      <c r="E532" s="105">
        <v>9196648050</v>
      </c>
      <c r="F532" s="42" t="s">
        <v>247</v>
      </c>
      <c r="G532" s="84">
        <f>34792+(364+182)</f>
        <v>35338</v>
      </c>
      <c r="H532" s="53" t="str">
        <f>CHOOSE(MONTH(G532),"Jan","Feb","Mar","Apr","May","Jun","Jul","Aug","Sep","Oct","Nov","Dec")</f>
        <v>Sep</v>
      </c>
      <c r="I532" s="54">
        <f ca="1">DATEDIF(G532,TODAY(),"Y")</f>
        <v>20</v>
      </c>
      <c r="J532" s="55"/>
      <c r="K532" s="56">
        <v>87830</v>
      </c>
      <c r="L532" s="57">
        <v>2</v>
      </c>
      <c r="M532" s="62">
        <f>ROUND(K532*P530+K532,0)</f>
        <v>87830</v>
      </c>
      <c r="N532" s="103"/>
      <c r="O532" s="48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</row>
    <row r="533" spans="1:34" s="87" customFormat="1" x14ac:dyDescent="0.25">
      <c r="A533" s="42" t="s">
        <v>301</v>
      </c>
      <c r="B533" s="49" t="s">
        <v>271</v>
      </c>
      <c r="C533" s="42" t="s">
        <v>296</v>
      </c>
      <c r="D533" s="105">
        <v>243350742</v>
      </c>
      <c r="E533" s="105">
        <v>2528304204</v>
      </c>
      <c r="F533" s="42" t="s">
        <v>252</v>
      </c>
      <c r="G533" s="84">
        <f>35128+(364+182)</f>
        <v>35674</v>
      </c>
      <c r="H533" s="53" t="str">
        <f>CHOOSE(MONTH(G533),"Jan","Feb","Mar","Apr","May","Jun","Jul","Aug","Sep","Oct","Nov","Dec")</f>
        <v>Sep</v>
      </c>
      <c r="I533" s="54">
        <f ca="1">DATEDIF(G533,TODAY(),"Y")</f>
        <v>19</v>
      </c>
      <c r="J533" s="55"/>
      <c r="K533" s="56">
        <v>20028</v>
      </c>
      <c r="L533" s="57">
        <v>4</v>
      </c>
      <c r="M533" s="62">
        <f>ROUND(K533*P531+K533,0)</f>
        <v>20028</v>
      </c>
      <c r="N533" s="103"/>
      <c r="O533" s="48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</row>
    <row r="534" spans="1:34" s="87" customFormat="1" x14ac:dyDescent="0.25">
      <c r="A534" s="42" t="s">
        <v>669</v>
      </c>
      <c r="B534" s="49" t="s">
        <v>285</v>
      </c>
      <c r="C534" s="42" t="s">
        <v>626</v>
      </c>
      <c r="D534" s="105">
        <v>479081328</v>
      </c>
      <c r="E534" s="105">
        <v>2525368383</v>
      </c>
      <c r="F534" s="42" t="s">
        <v>247</v>
      </c>
      <c r="G534" s="84">
        <f>35136+(364+182)</f>
        <v>35682</v>
      </c>
      <c r="H534" s="53" t="str">
        <f>CHOOSE(MONTH(G534),"Jan","Feb","Mar","Apr","May","Jun","Jul","Aug","Sep","Oct","Nov","Dec")</f>
        <v>Sep</v>
      </c>
      <c r="I534" s="54">
        <f ca="1">DATEDIF(G534,TODAY(),"Y")</f>
        <v>19</v>
      </c>
      <c r="J534" s="55"/>
      <c r="K534" s="56">
        <v>63850</v>
      </c>
      <c r="L534" s="57">
        <v>2</v>
      </c>
      <c r="M534" s="62">
        <f>ROUND(K534*P532+K534,0)</f>
        <v>63850</v>
      </c>
      <c r="N534" s="103"/>
      <c r="O534" s="48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</row>
    <row r="535" spans="1:34" s="87" customFormat="1" x14ac:dyDescent="0.25">
      <c r="A535" s="42" t="s">
        <v>877</v>
      </c>
      <c r="B535" s="49" t="s">
        <v>271</v>
      </c>
      <c r="C535" s="42" t="s">
        <v>856</v>
      </c>
      <c r="D535" s="105">
        <v>863736129</v>
      </c>
      <c r="E535" s="105">
        <v>2522778445</v>
      </c>
      <c r="F535" s="42" t="s">
        <v>261</v>
      </c>
      <c r="G535" s="84">
        <f>35142+(364+182)</f>
        <v>35688</v>
      </c>
      <c r="H535" s="53" t="str">
        <f>CHOOSE(MONTH(G535),"Jan","Feb","Mar","Apr","May","Jun","Jul","Aug","Sep","Oct","Nov","Dec")</f>
        <v>Sep</v>
      </c>
      <c r="I535" s="54">
        <f ca="1">DATEDIF(G535,TODAY(),"Y")</f>
        <v>19</v>
      </c>
      <c r="J535" s="55" t="s">
        <v>283</v>
      </c>
      <c r="K535" s="56">
        <v>42740</v>
      </c>
      <c r="L535" s="57">
        <v>2</v>
      </c>
      <c r="M535" s="62">
        <f>ROUND(K535*P533+K535,0)</f>
        <v>42740</v>
      </c>
      <c r="N535" s="103"/>
      <c r="O535" s="48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</row>
    <row r="536" spans="1:34" s="87" customFormat="1" x14ac:dyDescent="0.25">
      <c r="A536" s="42" t="s">
        <v>795</v>
      </c>
      <c r="B536" s="49" t="s">
        <v>285</v>
      </c>
      <c r="C536" s="42" t="s">
        <v>767</v>
      </c>
      <c r="D536" s="105">
        <v>965916299</v>
      </c>
      <c r="E536" s="105">
        <v>9193552027</v>
      </c>
      <c r="F536" s="42" t="s">
        <v>256</v>
      </c>
      <c r="G536" s="84">
        <f>35147+(364+182)</f>
        <v>35693</v>
      </c>
      <c r="H536" s="53" t="str">
        <f>CHOOSE(MONTH(G536),"Jan","Feb","Mar","Apr","May","Jun","Jul","Aug","Sep","Oct","Nov","Dec")</f>
        <v>Sep</v>
      </c>
      <c r="I536" s="54">
        <f ca="1">DATEDIF(G536,TODAY(),"Y")</f>
        <v>19</v>
      </c>
      <c r="J536" s="55" t="s">
        <v>262</v>
      </c>
      <c r="K536" s="56">
        <v>24340</v>
      </c>
      <c r="L536" s="57">
        <v>4</v>
      </c>
      <c r="M536" s="62">
        <f>ROUND(K536*P534+K536,0)</f>
        <v>24340</v>
      </c>
      <c r="N536" s="103"/>
      <c r="O536" s="48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</row>
    <row r="537" spans="1:34" s="87" customFormat="1" x14ac:dyDescent="0.25">
      <c r="A537" s="42" t="s">
        <v>597</v>
      </c>
      <c r="B537" s="49" t="s">
        <v>271</v>
      </c>
      <c r="C537" s="42" t="s">
        <v>465</v>
      </c>
      <c r="D537" s="105">
        <v>676030562</v>
      </c>
      <c r="E537" s="105">
        <v>9198253211</v>
      </c>
      <c r="F537" s="42" t="s">
        <v>256</v>
      </c>
      <c r="G537" s="84">
        <f>35149+(364+182)</f>
        <v>35695</v>
      </c>
      <c r="H537" s="53" t="str">
        <f>CHOOSE(MONTH(G537),"Jan","Feb","Mar","Apr","May","Jun","Jul","Aug","Sep","Oct","Nov","Dec")</f>
        <v>Sep</v>
      </c>
      <c r="I537" s="54">
        <f ca="1">DATEDIF(G537,TODAY(),"Y")</f>
        <v>19</v>
      </c>
      <c r="J537" s="55" t="s">
        <v>257</v>
      </c>
      <c r="K537" s="56">
        <v>60100</v>
      </c>
      <c r="L537" s="57">
        <v>1</v>
      </c>
      <c r="M537" s="62">
        <f>ROUND(K537*P535+K537,0)</f>
        <v>60100</v>
      </c>
      <c r="N537" s="103"/>
      <c r="O537" s="48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</row>
    <row r="538" spans="1:34" s="87" customFormat="1" x14ac:dyDescent="0.25">
      <c r="A538" s="42" t="s">
        <v>783</v>
      </c>
      <c r="B538" s="49" t="s">
        <v>251</v>
      </c>
      <c r="C538" s="42" t="s">
        <v>767</v>
      </c>
      <c r="D538" s="105">
        <v>698472533</v>
      </c>
      <c r="E538" s="105">
        <v>9192917217</v>
      </c>
      <c r="F538" s="42" t="s">
        <v>247</v>
      </c>
      <c r="G538" s="84">
        <f>35153+(364+182)</f>
        <v>35699</v>
      </c>
      <c r="H538" s="53" t="str">
        <f>CHOOSE(MONTH(G538),"Jan","Feb","Mar","Apr","May","Jun","Jul","Aug","Sep","Oct","Nov","Dec")</f>
        <v>Sep</v>
      </c>
      <c r="I538" s="54">
        <f ca="1">DATEDIF(G538,TODAY(),"Y")</f>
        <v>19</v>
      </c>
      <c r="J538" s="55"/>
      <c r="K538" s="56">
        <v>36230</v>
      </c>
      <c r="L538" s="57">
        <v>2</v>
      </c>
      <c r="M538" s="62">
        <f>ROUND(K538*P536+K538,0)</f>
        <v>36230</v>
      </c>
      <c r="N538" s="103"/>
      <c r="O538" s="48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</row>
    <row r="539" spans="1:34" s="87" customFormat="1" x14ac:dyDescent="0.25">
      <c r="A539" s="42" t="s">
        <v>610</v>
      </c>
      <c r="B539" s="49" t="s">
        <v>285</v>
      </c>
      <c r="C539" s="42" t="s">
        <v>465</v>
      </c>
      <c r="D539" s="105">
        <v>597131266</v>
      </c>
      <c r="E539" s="105">
        <v>9195043141</v>
      </c>
      <c r="F539" s="42" t="s">
        <v>256</v>
      </c>
      <c r="G539" s="84">
        <f>35157+(364+182)</f>
        <v>35703</v>
      </c>
      <c r="H539" s="53" t="str">
        <f>CHOOSE(MONTH(G539),"Jan","Feb","Mar","Apr","May","Jun","Jul","Aug","Sep","Oct","Nov","Dec")</f>
        <v>Sep</v>
      </c>
      <c r="I539" s="54">
        <f ca="1">DATEDIF(G539,TODAY(),"Y")</f>
        <v>19</v>
      </c>
      <c r="J539" s="55" t="s">
        <v>262</v>
      </c>
      <c r="K539" s="56">
        <v>66430</v>
      </c>
      <c r="L539" s="57">
        <v>2</v>
      </c>
      <c r="M539" s="62">
        <f>ROUND(K539*P537+K539,0)</f>
        <v>66430</v>
      </c>
      <c r="N539" s="103"/>
      <c r="O539" s="48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</row>
    <row r="540" spans="1:34" s="87" customFormat="1" x14ac:dyDescent="0.25">
      <c r="A540" s="42" t="s">
        <v>691</v>
      </c>
      <c r="B540" s="49" t="s">
        <v>245</v>
      </c>
      <c r="C540" s="42" t="s">
        <v>678</v>
      </c>
      <c r="D540" s="105">
        <v>550291321</v>
      </c>
      <c r="E540" s="105">
        <v>9192529195</v>
      </c>
      <c r="F540" s="42" t="s">
        <v>247</v>
      </c>
      <c r="G540" s="84">
        <f>35501+(364+182)</f>
        <v>36047</v>
      </c>
      <c r="H540" s="53" t="str">
        <f>CHOOSE(MONTH(G540),"Jan","Feb","Mar","Apr","May","Jun","Jul","Aug","Sep","Oct","Nov","Dec")</f>
        <v>Sep</v>
      </c>
      <c r="I540" s="54">
        <f ca="1">DATEDIF(G540,TODAY(),"Y")</f>
        <v>18</v>
      </c>
      <c r="J540" s="55"/>
      <c r="K540" s="56">
        <v>72480</v>
      </c>
      <c r="L540" s="57">
        <v>2</v>
      </c>
      <c r="M540" s="62">
        <f>ROUND(K540*P538+K540,0)</f>
        <v>72480</v>
      </c>
      <c r="N540" s="103"/>
      <c r="O540" s="48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</row>
    <row r="541" spans="1:34" s="87" customFormat="1" x14ac:dyDescent="0.25">
      <c r="A541" s="42" t="s">
        <v>944</v>
      </c>
      <c r="B541" s="49" t="s">
        <v>280</v>
      </c>
      <c r="C541" s="42" t="s">
        <v>930</v>
      </c>
      <c r="D541" s="105">
        <v>658842625</v>
      </c>
      <c r="E541" s="105">
        <v>9193788281</v>
      </c>
      <c r="F541" s="42" t="s">
        <v>261</v>
      </c>
      <c r="G541" s="84">
        <f>35507+(364+182)</f>
        <v>36053</v>
      </c>
      <c r="H541" s="53" t="str">
        <f>CHOOSE(MONTH(G541),"Jan","Feb","Mar","Apr","May","Jun","Jul","Aug","Sep","Oct","Nov","Dec")</f>
        <v>Sep</v>
      </c>
      <c r="I541" s="54">
        <f ca="1">DATEDIF(G541,TODAY(),"Y")</f>
        <v>18</v>
      </c>
      <c r="J541" s="55" t="s">
        <v>276</v>
      </c>
      <c r="K541" s="56">
        <v>46105</v>
      </c>
      <c r="L541" s="57">
        <v>5</v>
      </c>
      <c r="M541" s="62">
        <f>ROUND(K541*P539+K541,0)</f>
        <v>46105</v>
      </c>
      <c r="N541" s="103"/>
      <c r="O541" s="48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</row>
    <row r="542" spans="1:34" s="87" customFormat="1" x14ac:dyDescent="0.25">
      <c r="A542" s="42" t="s">
        <v>341</v>
      </c>
      <c r="B542" s="49" t="s">
        <v>245</v>
      </c>
      <c r="C542" s="42" t="s">
        <v>312</v>
      </c>
      <c r="D542" s="105">
        <v>126492342</v>
      </c>
      <c r="E542" s="105">
        <v>9196299247</v>
      </c>
      <c r="F542" s="42" t="s">
        <v>252</v>
      </c>
      <c r="G542" s="84">
        <f>35513+(364+182)</f>
        <v>36059</v>
      </c>
      <c r="H542" s="53" t="str">
        <f>CHOOSE(MONTH(G542),"Jan","Feb","Mar","Apr","May","Jun","Jul","Aug","Sep","Oct","Nov","Dec")</f>
        <v>Sep</v>
      </c>
      <c r="I542" s="54">
        <f ca="1">DATEDIF(G542,TODAY(),"Y")</f>
        <v>18</v>
      </c>
      <c r="J542" s="55"/>
      <c r="K542" s="56">
        <v>18500</v>
      </c>
      <c r="L542" s="57">
        <v>5</v>
      </c>
      <c r="M542" s="62">
        <f>ROUND(K542*P540+K542,0)</f>
        <v>18500</v>
      </c>
      <c r="N542" s="103"/>
      <c r="O542" s="48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</row>
    <row r="543" spans="1:34" s="87" customFormat="1" x14ac:dyDescent="0.25">
      <c r="A543" s="42" t="s">
        <v>573</v>
      </c>
      <c r="B543" s="49" t="s">
        <v>280</v>
      </c>
      <c r="C543" s="42" t="s">
        <v>465</v>
      </c>
      <c r="D543" s="105">
        <v>993383806</v>
      </c>
      <c r="E543" s="105">
        <v>2521810581</v>
      </c>
      <c r="F543" s="42" t="s">
        <v>252</v>
      </c>
      <c r="G543" s="84">
        <f>35521+(364+182)</f>
        <v>36067</v>
      </c>
      <c r="H543" s="53" t="str">
        <f>CHOOSE(MONTH(G543),"Jan","Feb","Mar","Apr","May","Jun","Jul","Aug","Sep","Oct","Nov","Dec")</f>
        <v>Sep</v>
      </c>
      <c r="I543" s="54">
        <f ca="1">DATEDIF(G543,TODAY(),"Y")</f>
        <v>18</v>
      </c>
      <c r="J543" s="55"/>
      <c r="K543" s="56">
        <v>37612</v>
      </c>
      <c r="L543" s="57">
        <v>4</v>
      </c>
      <c r="M543" s="62">
        <f>ROUND(K543*P541+K543,0)</f>
        <v>37612</v>
      </c>
      <c r="N543" s="103"/>
      <c r="O543" s="48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</row>
    <row r="544" spans="1:34" s="87" customFormat="1" x14ac:dyDescent="0.25">
      <c r="A544" s="42" t="s">
        <v>874</v>
      </c>
      <c r="B544" s="49" t="s">
        <v>271</v>
      </c>
      <c r="C544" s="42" t="s">
        <v>856</v>
      </c>
      <c r="D544" s="105">
        <v>548704405</v>
      </c>
      <c r="E544" s="105">
        <v>2526458440</v>
      </c>
      <c r="F544" s="42" t="s">
        <v>247</v>
      </c>
      <c r="G544" s="84">
        <f>35860+(364+182)</f>
        <v>36406</v>
      </c>
      <c r="H544" s="53" t="str">
        <f>CHOOSE(MONTH(G544),"Jan","Feb","Mar","Apr","May","Jun","Jul","Aug","Sep","Oct","Nov","Dec")</f>
        <v>Sep</v>
      </c>
      <c r="I544" s="54">
        <f ca="1">DATEDIF(G544,TODAY(),"Y")</f>
        <v>17</v>
      </c>
      <c r="J544" s="55"/>
      <c r="K544" s="56">
        <v>60800</v>
      </c>
      <c r="L544" s="57">
        <v>4</v>
      </c>
      <c r="M544" s="62">
        <f>ROUND(K544*P542+K544,0)</f>
        <v>60800</v>
      </c>
      <c r="N544" s="103"/>
      <c r="O544" s="48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</row>
    <row r="545" spans="1:34" s="87" customFormat="1" x14ac:dyDescent="0.25">
      <c r="A545" s="42" t="s">
        <v>871</v>
      </c>
      <c r="B545" s="49" t="s">
        <v>285</v>
      </c>
      <c r="C545" s="42" t="s">
        <v>856</v>
      </c>
      <c r="D545" s="105">
        <v>489667166</v>
      </c>
      <c r="E545" s="105">
        <v>2522238881</v>
      </c>
      <c r="F545" s="42" t="s">
        <v>256</v>
      </c>
      <c r="G545" s="84">
        <f>35861+(364+182)</f>
        <v>36407</v>
      </c>
      <c r="H545" s="53" t="str">
        <f>CHOOSE(MONTH(G545),"Jan","Feb","Mar","Apr","May","Jun","Jul","Aug","Sep","Oct","Nov","Dec")</f>
        <v>Sep</v>
      </c>
      <c r="I545" s="54">
        <f ca="1">DATEDIF(G545,TODAY(),"Y")</f>
        <v>17</v>
      </c>
      <c r="J545" s="55" t="s">
        <v>262</v>
      </c>
      <c r="K545" s="56">
        <v>45880</v>
      </c>
      <c r="L545" s="57">
        <v>5</v>
      </c>
      <c r="M545" s="62">
        <f>ROUND(K545*P543+K545,0)</f>
        <v>45880</v>
      </c>
      <c r="N545" s="103"/>
      <c r="O545" s="48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</row>
    <row r="546" spans="1:34" x14ac:dyDescent="0.25">
      <c r="A546" s="42" t="s">
        <v>515</v>
      </c>
      <c r="B546" s="49" t="s">
        <v>280</v>
      </c>
      <c r="C546" s="42" t="s">
        <v>465</v>
      </c>
      <c r="D546" s="105">
        <v>177332873</v>
      </c>
      <c r="E546" s="105">
        <v>9195915044</v>
      </c>
      <c r="F546" s="42" t="s">
        <v>256</v>
      </c>
      <c r="G546" s="84">
        <f>35867+(364+182)</f>
        <v>36413</v>
      </c>
      <c r="H546" s="53" t="str">
        <f>CHOOSE(MONTH(G546),"Jan","Feb","Mar","Apr","May","Jun","Jul","Aug","Sep","Oct","Nov","Dec")</f>
        <v>Sep</v>
      </c>
      <c r="I546" s="54">
        <f ca="1">DATEDIF(G546,TODAY(),"Y")</f>
        <v>17</v>
      </c>
      <c r="J546" s="55" t="s">
        <v>257</v>
      </c>
      <c r="K546" s="56">
        <v>40060</v>
      </c>
      <c r="L546" s="57">
        <v>3</v>
      </c>
      <c r="M546" s="62">
        <f>ROUND(K546*P544+K546,0)</f>
        <v>40060</v>
      </c>
    </row>
    <row r="547" spans="1:34" x14ac:dyDescent="0.25">
      <c r="A547" s="42" t="s">
        <v>435</v>
      </c>
      <c r="B547" s="49" t="s">
        <v>280</v>
      </c>
      <c r="C547" s="42" t="s">
        <v>417</v>
      </c>
      <c r="D547" s="105">
        <v>525507320</v>
      </c>
      <c r="E547" s="105">
        <v>2523938131</v>
      </c>
      <c r="F547" s="42" t="s">
        <v>256</v>
      </c>
      <c r="G547" s="84">
        <f>35868+(364+182)</f>
        <v>36414</v>
      </c>
      <c r="H547" s="53" t="str">
        <f>CHOOSE(MONTH(G547),"Jan","Feb","Mar","Apr","May","Jun","Jul","Aug","Sep","Oct","Nov","Dec")</f>
        <v>Sep</v>
      </c>
      <c r="I547" s="54">
        <f ca="1">DATEDIF(G547,TODAY(),"Y")</f>
        <v>17</v>
      </c>
      <c r="J547" s="55" t="s">
        <v>276</v>
      </c>
      <c r="K547" s="56">
        <v>39680</v>
      </c>
      <c r="L547" s="57">
        <v>5</v>
      </c>
      <c r="M547" s="62">
        <f>ROUND(K547*P545+K547,0)</f>
        <v>39680</v>
      </c>
    </row>
    <row r="548" spans="1:34" x14ac:dyDescent="0.25">
      <c r="A548" s="42" t="s">
        <v>571</v>
      </c>
      <c r="B548" s="49" t="s">
        <v>285</v>
      </c>
      <c r="C548" s="42" t="s">
        <v>465</v>
      </c>
      <c r="D548" s="105">
        <v>594680949</v>
      </c>
      <c r="E548" s="105">
        <v>9192375580</v>
      </c>
      <c r="F548" s="42" t="s">
        <v>261</v>
      </c>
      <c r="G548" s="84">
        <f>35876+(364+182)</f>
        <v>36422</v>
      </c>
      <c r="H548" s="53" t="str">
        <f>CHOOSE(MONTH(G548),"Jan","Feb","Mar","Apr","May","Jun","Jul","Aug","Sep","Oct","Nov","Dec")</f>
        <v>Sep</v>
      </c>
      <c r="I548" s="54">
        <f ca="1">DATEDIF(G548,TODAY(),"Y")</f>
        <v>17</v>
      </c>
      <c r="J548" s="55" t="s">
        <v>283</v>
      </c>
      <c r="K548" s="56">
        <v>17270</v>
      </c>
      <c r="L548" s="57">
        <v>5</v>
      </c>
      <c r="M548" s="62">
        <f>ROUND(K548*P546+K548,0)</f>
        <v>17270</v>
      </c>
    </row>
    <row r="549" spans="1:34" x14ac:dyDescent="0.25">
      <c r="A549" s="42" t="s">
        <v>915</v>
      </c>
      <c r="B549" s="49" t="s">
        <v>285</v>
      </c>
      <c r="C549" s="42" t="s">
        <v>856</v>
      </c>
      <c r="D549" s="105">
        <v>393973492</v>
      </c>
      <c r="E549" s="105">
        <v>2522869792</v>
      </c>
      <c r="F549" s="42" t="s">
        <v>261</v>
      </c>
      <c r="G549" s="84">
        <f>35877+(364+182)</f>
        <v>36423</v>
      </c>
      <c r="H549" s="53" t="str">
        <f>CHOOSE(MONTH(G549),"Jan","Feb","Mar","Apr","May","Jun","Jul","Aug","Sep","Oct","Nov","Dec")</f>
        <v>Sep</v>
      </c>
      <c r="I549" s="54">
        <f ca="1">DATEDIF(G549,TODAY(),"Y")</f>
        <v>17</v>
      </c>
      <c r="J549" s="55" t="s">
        <v>276</v>
      </c>
      <c r="K549" s="56">
        <v>47350</v>
      </c>
      <c r="L549" s="57">
        <v>1</v>
      </c>
      <c r="M549" s="62">
        <f>ROUND(K549*P547+K549,0)</f>
        <v>47350</v>
      </c>
    </row>
    <row r="550" spans="1:34" x14ac:dyDescent="0.25">
      <c r="A550" s="42" t="s">
        <v>552</v>
      </c>
      <c r="B550" s="49" t="s">
        <v>285</v>
      </c>
      <c r="C550" s="42" t="s">
        <v>465</v>
      </c>
      <c r="D550" s="105">
        <v>559376297</v>
      </c>
      <c r="E550" s="105">
        <v>9194888110</v>
      </c>
      <c r="F550" s="42" t="s">
        <v>256</v>
      </c>
      <c r="G550" s="84">
        <f>35885+(364+182)</f>
        <v>36431</v>
      </c>
      <c r="H550" s="53" t="str">
        <f>CHOOSE(MONTH(G550),"Jan","Feb","Mar","Apr","May","Jun","Jul","Aug","Sep","Oct","Nov","Dec")</f>
        <v>Sep</v>
      </c>
      <c r="I550" s="54">
        <f ca="1">DATEDIF(G550,TODAY(),"Y")</f>
        <v>17</v>
      </c>
      <c r="J550" s="55" t="s">
        <v>257</v>
      </c>
      <c r="K550" s="56">
        <v>35820</v>
      </c>
      <c r="L550" s="57">
        <v>2</v>
      </c>
      <c r="M550" s="62">
        <f>ROUND(K550*P548+K550,0)</f>
        <v>35820</v>
      </c>
    </row>
    <row r="551" spans="1:34" x14ac:dyDescent="0.25">
      <c r="A551" s="42" t="s">
        <v>286</v>
      </c>
      <c r="B551" s="49" t="s">
        <v>245</v>
      </c>
      <c r="C551" s="42" t="s">
        <v>272</v>
      </c>
      <c r="D551" s="105">
        <v>767961463</v>
      </c>
      <c r="E551" s="105">
        <v>2523646601</v>
      </c>
      <c r="F551" s="42" t="s">
        <v>247</v>
      </c>
      <c r="G551" s="84">
        <f>36231+(364+182)</f>
        <v>36777</v>
      </c>
      <c r="H551" s="53" t="str">
        <f>CHOOSE(MONTH(G551),"Jan","Feb","Mar","Apr","May","Jun","Jul","Aug","Sep","Oct","Nov","Dec")</f>
        <v>Sep</v>
      </c>
      <c r="I551" s="54">
        <f ca="1">DATEDIF(G551,TODAY(),"Y")</f>
        <v>16</v>
      </c>
      <c r="J551" s="55"/>
      <c r="K551" s="56">
        <v>76690</v>
      </c>
      <c r="L551" s="57">
        <v>3</v>
      </c>
      <c r="M551" s="62">
        <f>ROUND(K551*P549+K551,0)</f>
        <v>76690</v>
      </c>
      <c r="O551" s="107"/>
    </row>
    <row r="552" spans="1:34" x14ac:dyDescent="0.25">
      <c r="A552" s="42" t="s">
        <v>780</v>
      </c>
      <c r="B552" s="49" t="s">
        <v>285</v>
      </c>
      <c r="C552" s="42" t="s">
        <v>767</v>
      </c>
      <c r="D552" s="105">
        <v>938723321</v>
      </c>
      <c r="E552" s="105">
        <v>9196456972</v>
      </c>
      <c r="F552" s="42" t="s">
        <v>247</v>
      </c>
      <c r="G552" s="84">
        <f>36241+(364+182)</f>
        <v>36787</v>
      </c>
      <c r="H552" s="53" t="str">
        <f>CHOOSE(MONTH(G552),"Jan","Feb","Mar","Apr","May","Jun","Jul","Aug","Sep","Oct","Nov","Dec")</f>
        <v>Sep</v>
      </c>
      <c r="I552" s="54">
        <f ca="1">DATEDIF(G552,TODAY(),"Y")</f>
        <v>16</v>
      </c>
      <c r="J552" s="55"/>
      <c r="K552" s="56">
        <v>89640</v>
      </c>
      <c r="L552" s="57">
        <v>4</v>
      </c>
      <c r="M552" s="62">
        <f>ROUND(K552*P550+K552,0)</f>
        <v>89640</v>
      </c>
    </row>
    <row r="553" spans="1:34" x14ac:dyDescent="0.25">
      <c r="A553" s="42" t="s">
        <v>649</v>
      </c>
      <c r="B553" s="49" t="s">
        <v>245</v>
      </c>
      <c r="C553" s="42" t="s">
        <v>626</v>
      </c>
      <c r="D553" s="105">
        <v>372693786</v>
      </c>
      <c r="E553" s="105">
        <v>9198211050</v>
      </c>
      <c r="F553" s="42" t="s">
        <v>261</v>
      </c>
      <c r="G553" s="84">
        <f>36592+(364+182)</f>
        <v>37138</v>
      </c>
      <c r="H553" s="53" t="str">
        <f>CHOOSE(MONTH(G553),"Jan","Feb","Mar","Apr","May","Jun","Jul","Aug","Sep","Oct","Nov","Dec")</f>
        <v>Sep</v>
      </c>
      <c r="I553" s="54">
        <f ca="1">DATEDIF(G553,TODAY(),"Y")</f>
        <v>15</v>
      </c>
      <c r="J553" s="55" t="s">
        <v>262</v>
      </c>
      <c r="K553" s="56">
        <v>31110</v>
      </c>
      <c r="L553" s="57">
        <v>1</v>
      </c>
      <c r="M553" s="62">
        <f>ROUND(K553*P551+K553,0)</f>
        <v>31110</v>
      </c>
    </row>
    <row r="554" spans="1:34" x14ac:dyDescent="0.25">
      <c r="A554" s="42" t="s">
        <v>853</v>
      </c>
      <c r="B554" s="49" t="s">
        <v>271</v>
      </c>
      <c r="C554" s="42" t="s">
        <v>767</v>
      </c>
      <c r="D554" s="105">
        <v>505680981</v>
      </c>
      <c r="E554" s="105">
        <v>2527557761</v>
      </c>
      <c r="F554" s="42" t="s">
        <v>256</v>
      </c>
      <c r="G554" s="84">
        <f>36592+(364+182)</f>
        <v>37138</v>
      </c>
      <c r="H554" s="53" t="str">
        <f>CHOOSE(MONTH(G554),"Jan","Feb","Mar","Apr","May","Jun","Jul","Aug","Sep","Oct","Nov","Dec")</f>
        <v>Sep</v>
      </c>
      <c r="I554" s="54">
        <f ca="1">DATEDIF(G554,TODAY(),"Y")</f>
        <v>15</v>
      </c>
      <c r="J554" s="55" t="s">
        <v>257</v>
      </c>
      <c r="K554" s="56">
        <v>29130</v>
      </c>
      <c r="L554" s="57">
        <v>1</v>
      </c>
      <c r="M554" s="62">
        <f>ROUND(K554*P552+K554,0)</f>
        <v>29130</v>
      </c>
    </row>
    <row r="555" spans="1:34" x14ac:dyDescent="0.25">
      <c r="A555" s="42" t="s">
        <v>673</v>
      </c>
      <c r="B555" s="49" t="s">
        <v>280</v>
      </c>
      <c r="C555" s="42" t="s">
        <v>626</v>
      </c>
      <c r="D555" s="105">
        <v>168147877</v>
      </c>
      <c r="E555" s="105">
        <v>9196530760</v>
      </c>
      <c r="F555" s="42" t="s">
        <v>261</v>
      </c>
      <c r="G555" s="84">
        <f>36595+(364+182)</f>
        <v>37141</v>
      </c>
      <c r="H555" s="53" t="str">
        <f>CHOOSE(MONTH(G555),"Jan","Feb","Mar","Apr","May","Jun","Jul","Aug","Sep","Oct","Nov","Dec")</f>
        <v>Sep</v>
      </c>
      <c r="I555" s="54">
        <f ca="1">DATEDIF(G555,TODAY(),"Y")</f>
        <v>15</v>
      </c>
      <c r="J555" s="55" t="s">
        <v>276</v>
      </c>
      <c r="K555" s="56">
        <v>15910</v>
      </c>
      <c r="L555" s="57">
        <v>3</v>
      </c>
      <c r="M555" s="62">
        <f>ROUND(K555*P553+K555,0)</f>
        <v>15910</v>
      </c>
    </row>
    <row r="556" spans="1:34" x14ac:dyDescent="0.25">
      <c r="A556" s="42" t="s">
        <v>971</v>
      </c>
      <c r="B556" s="49" t="s">
        <v>266</v>
      </c>
      <c r="C556" s="42" t="s">
        <v>930</v>
      </c>
      <c r="D556" s="105">
        <v>971128623</v>
      </c>
      <c r="E556" s="105">
        <v>9194375399</v>
      </c>
      <c r="F556" s="42" t="s">
        <v>247</v>
      </c>
      <c r="G556" s="84">
        <f>36595+(364+182)</f>
        <v>37141</v>
      </c>
      <c r="H556" s="53" t="str">
        <f>CHOOSE(MONTH(G556),"Jan","Feb","Mar","Apr","May","Jun","Jul","Aug","Sep","Oct","Nov","Dec")</f>
        <v>Sep</v>
      </c>
      <c r="I556" s="54">
        <f ca="1">DATEDIF(G556,TODAY(),"Y")</f>
        <v>15</v>
      </c>
      <c r="J556" s="55"/>
      <c r="K556" s="56">
        <v>25530</v>
      </c>
      <c r="L556" s="57">
        <v>3</v>
      </c>
      <c r="M556" s="62">
        <f>ROUND(K556*P554+K556,0)</f>
        <v>25530</v>
      </c>
      <c r="P556" s="78"/>
      <c r="Q556" s="78"/>
    </row>
    <row r="557" spans="1:34" x14ac:dyDescent="0.25">
      <c r="A557" s="42" t="s">
        <v>459</v>
      </c>
      <c r="B557" s="49" t="s">
        <v>285</v>
      </c>
      <c r="C557" s="42" t="s">
        <v>456</v>
      </c>
      <c r="D557" s="105">
        <v>875920441</v>
      </c>
      <c r="E557" s="105">
        <v>9191715499</v>
      </c>
      <c r="F557" s="42" t="s">
        <v>261</v>
      </c>
      <c r="G557" s="84">
        <f>36959+(364+182)</f>
        <v>37505</v>
      </c>
      <c r="H557" s="53" t="str">
        <f>CHOOSE(MONTH(G557),"Jan","Feb","Mar","Apr","May","Jun","Jul","Aug","Sep","Oct","Nov","Dec")</f>
        <v>Sep</v>
      </c>
      <c r="I557" s="54">
        <f ca="1">DATEDIF(G557,TODAY(),"Y")</f>
        <v>14</v>
      </c>
      <c r="J557" s="55" t="s">
        <v>276</v>
      </c>
      <c r="K557" s="56">
        <v>51800</v>
      </c>
      <c r="L557" s="57">
        <v>1</v>
      </c>
      <c r="M557" s="62">
        <f>ROUND(K557*P555+K557,0)</f>
        <v>51800</v>
      </c>
    </row>
    <row r="558" spans="1:34" x14ac:dyDescent="0.25">
      <c r="A558" s="42" t="s">
        <v>600</v>
      </c>
      <c r="B558" s="49" t="s">
        <v>271</v>
      </c>
      <c r="C558" s="42" t="s">
        <v>465</v>
      </c>
      <c r="D558" s="105">
        <v>468053610</v>
      </c>
      <c r="E558" s="105">
        <v>2525344270</v>
      </c>
      <c r="F558" s="42" t="s">
        <v>256</v>
      </c>
      <c r="G558" s="84">
        <f>36963+(364+182)</f>
        <v>37509</v>
      </c>
      <c r="H558" s="53" t="str">
        <f>CHOOSE(MONTH(G558),"Jan","Feb","Mar","Apr","May","Jun","Jul","Aug","Sep","Oct","Nov","Dec")</f>
        <v>Sep</v>
      </c>
      <c r="I558" s="54">
        <f ca="1">DATEDIF(G558,TODAY(),"Y")</f>
        <v>14</v>
      </c>
      <c r="J558" s="55" t="s">
        <v>283</v>
      </c>
      <c r="K558" s="56">
        <v>69080</v>
      </c>
      <c r="L558" s="57">
        <v>3</v>
      </c>
      <c r="M558" s="62">
        <f>ROUND(K558*P556+K558,0)</f>
        <v>69080</v>
      </c>
    </row>
    <row r="559" spans="1:34" x14ac:dyDescent="0.25">
      <c r="A559" s="42" t="s">
        <v>825</v>
      </c>
      <c r="B559" s="49" t="s">
        <v>285</v>
      </c>
      <c r="C559" s="42" t="s">
        <v>767</v>
      </c>
      <c r="D559" s="105">
        <v>160662505</v>
      </c>
      <c r="E559" s="105">
        <v>2526427045</v>
      </c>
      <c r="F559" s="42" t="s">
        <v>247</v>
      </c>
      <c r="G559" s="84">
        <f>36980+(364+182)</f>
        <v>37526</v>
      </c>
      <c r="H559" s="53" t="str">
        <f>CHOOSE(MONTH(G559),"Jan","Feb","Mar","Apr","May","Jun","Jul","Aug","Sep","Oct","Nov","Dec")</f>
        <v>Sep</v>
      </c>
      <c r="I559" s="54">
        <f ca="1">DATEDIF(G559,TODAY(),"Y")</f>
        <v>14</v>
      </c>
      <c r="J559" s="55"/>
      <c r="K559" s="56">
        <v>61580</v>
      </c>
      <c r="L559" s="57">
        <v>3</v>
      </c>
      <c r="M559" s="62">
        <f>ROUND(K559*P557+K559,0)</f>
        <v>61580</v>
      </c>
      <c r="P559" s="78"/>
      <c r="Q559" s="78"/>
    </row>
    <row r="560" spans="1:34" x14ac:dyDescent="0.25">
      <c r="A560" s="42" t="s">
        <v>612</v>
      </c>
      <c r="B560" s="49" t="s">
        <v>285</v>
      </c>
      <c r="C560" s="42" t="s">
        <v>465</v>
      </c>
      <c r="D560" s="105">
        <v>903618594</v>
      </c>
      <c r="E560" s="105">
        <v>9194733288</v>
      </c>
      <c r="F560" s="42" t="s">
        <v>256</v>
      </c>
      <c r="G560" s="84">
        <f>37320+(364+182)</f>
        <v>37866</v>
      </c>
      <c r="H560" s="53" t="str">
        <f>CHOOSE(MONTH(G560),"Jan","Feb","Mar","Apr","May","Jun","Jul","Aug","Sep","Oct","Nov","Dec")</f>
        <v>Sep</v>
      </c>
      <c r="I560" s="54">
        <f ca="1">DATEDIF(G560,TODAY(),"Y")</f>
        <v>13</v>
      </c>
      <c r="J560" s="55" t="s">
        <v>262</v>
      </c>
      <c r="K560" s="56">
        <v>54230</v>
      </c>
      <c r="L560" s="57">
        <v>5</v>
      </c>
      <c r="M560" s="62">
        <f>ROUND(K560*P558+K560,0)</f>
        <v>54230</v>
      </c>
    </row>
    <row r="561" spans="1:17" x14ac:dyDescent="0.25">
      <c r="A561" s="42" t="s">
        <v>375</v>
      </c>
      <c r="B561" s="49" t="s">
        <v>285</v>
      </c>
      <c r="C561" s="42" t="s">
        <v>372</v>
      </c>
      <c r="D561" s="105">
        <v>272036635</v>
      </c>
      <c r="E561" s="105">
        <v>2521656242</v>
      </c>
      <c r="F561" s="42" t="s">
        <v>256</v>
      </c>
      <c r="G561" s="84">
        <f>37337+(364+182)</f>
        <v>37883</v>
      </c>
      <c r="H561" s="53" t="str">
        <f>CHOOSE(MONTH(G561),"Jan","Feb","Mar","Apr","May","Jun","Jul","Aug","Sep","Oct","Nov","Dec")</f>
        <v>Sep</v>
      </c>
      <c r="I561" s="54">
        <f ca="1">DATEDIF(G561,TODAY(),"Y")</f>
        <v>13</v>
      </c>
      <c r="J561" s="55" t="s">
        <v>257</v>
      </c>
      <c r="K561" s="56">
        <v>86530</v>
      </c>
      <c r="L561" s="57">
        <v>1</v>
      </c>
      <c r="M561" s="62">
        <f>ROUND(K561*P559+K561,0)</f>
        <v>86530</v>
      </c>
      <c r="P561" s="78"/>
      <c r="Q561" s="78"/>
    </row>
    <row r="562" spans="1:17" x14ac:dyDescent="0.25">
      <c r="A562" s="42" t="s">
        <v>910</v>
      </c>
      <c r="B562" s="49" t="s">
        <v>245</v>
      </c>
      <c r="C562" s="42" t="s">
        <v>856</v>
      </c>
      <c r="D562" s="105">
        <v>649292883</v>
      </c>
      <c r="E562" s="105">
        <v>9198413896</v>
      </c>
      <c r="F562" s="42" t="s">
        <v>256</v>
      </c>
      <c r="G562" s="84">
        <f>37691+(364+182)</f>
        <v>38237</v>
      </c>
      <c r="H562" s="53" t="str">
        <f>CHOOSE(MONTH(G562),"Jan","Feb","Mar","Apr","May","Jun","Jul","Aug","Sep","Oct","Nov","Dec")</f>
        <v>Sep</v>
      </c>
      <c r="I562" s="54">
        <f ca="1">DATEDIF(G562,TODAY(),"Y")</f>
        <v>12</v>
      </c>
      <c r="J562" s="55" t="s">
        <v>283</v>
      </c>
      <c r="K562" s="56">
        <v>31910</v>
      </c>
      <c r="L562" s="57">
        <v>5</v>
      </c>
      <c r="M562" s="62">
        <f>ROUND(K562*P560+K562,0)</f>
        <v>31910</v>
      </c>
    </row>
    <row r="563" spans="1:17" x14ac:dyDescent="0.25">
      <c r="A563" s="42" t="s">
        <v>334</v>
      </c>
      <c r="B563" s="49" t="s">
        <v>245</v>
      </c>
      <c r="C563" s="42" t="s">
        <v>312</v>
      </c>
      <c r="D563" s="105">
        <v>733413074</v>
      </c>
      <c r="E563" s="105">
        <v>9192224790</v>
      </c>
      <c r="F563" s="42" t="s">
        <v>247</v>
      </c>
      <c r="G563" s="84">
        <f>38424+(364+182)</f>
        <v>38970</v>
      </c>
      <c r="H563" s="53" t="str">
        <f>CHOOSE(MONTH(G563),"Jan","Feb","Mar","Apr","May","Jun","Jul","Aug","Sep","Oct","Nov","Dec")</f>
        <v>Sep</v>
      </c>
      <c r="I563" s="54">
        <f ca="1">DATEDIF(G563,TODAY(),"Y")</f>
        <v>10</v>
      </c>
      <c r="J563" s="55"/>
      <c r="K563" s="56">
        <v>83070</v>
      </c>
      <c r="L563" s="57">
        <v>3</v>
      </c>
      <c r="M563" s="62">
        <f>ROUND(K563*P561+K563,0)</f>
        <v>83070</v>
      </c>
    </row>
    <row r="564" spans="1:17" x14ac:dyDescent="0.25">
      <c r="A564" s="42" t="s">
        <v>509</v>
      </c>
      <c r="B564" s="49" t="s">
        <v>280</v>
      </c>
      <c r="C564" s="42" t="s">
        <v>465</v>
      </c>
      <c r="D564" s="105">
        <v>575270646</v>
      </c>
      <c r="E564" s="105">
        <v>9197819805</v>
      </c>
      <c r="F564" s="42" t="s">
        <v>256</v>
      </c>
      <c r="G564" s="84">
        <f>38802+(364+182)</f>
        <v>39348</v>
      </c>
      <c r="H564" s="53" t="str">
        <f>CHOOSE(MONTH(G564),"Jan","Feb","Mar","Apr","May","Jun","Jul","Aug","Sep","Oct","Nov","Dec")</f>
        <v>Sep</v>
      </c>
      <c r="I564" s="54">
        <f ca="1">DATEDIF(G564,TODAY(),"Y")</f>
        <v>9</v>
      </c>
      <c r="J564" s="55" t="s">
        <v>257</v>
      </c>
      <c r="K564" s="56">
        <v>46220</v>
      </c>
      <c r="L564" s="57">
        <v>2</v>
      </c>
      <c r="M564" s="62">
        <f>ROUND(K564*P562+K564,0)</f>
        <v>46220</v>
      </c>
    </row>
    <row r="565" spans="1:17" x14ac:dyDescent="0.25">
      <c r="A565" s="42" t="s">
        <v>479</v>
      </c>
      <c r="B565" s="49" t="s">
        <v>271</v>
      </c>
      <c r="C565" s="42" t="s">
        <v>465</v>
      </c>
      <c r="D565" s="105">
        <v>415299442</v>
      </c>
      <c r="E565" s="105">
        <v>2521408985</v>
      </c>
      <c r="F565" s="42" t="s">
        <v>256</v>
      </c>
      <c r="G565" s="84">
        <f>39150+(364+182)</f>
        <v>39696</v>
      </c>
      <c r="H565" s="53" t="str">
        <f>CHOOSE(MONTH(G565),"Jan","Feb","Mar","Apr","May","Jun","Jul","Aug","Sep","Oct","Nov","Dec")</f>
        <v>Sep</v>
      </c>
      <c r="I565" s="54">
        <f ca="1">DATEDIF(G565,TODAY(),"Y")</f>
        <v>8</v>
      </c>
      <c r="J565" s="55" t="s">
        <v>257</v>
      </c>
      <c r="K565" s="56">
        <v>69320</v>
      </c>
      <c r="L565" s="57">
        <v>3</v>
      </c>
      <c r="M565" s="62">
        <f>ROUND(K565*P563+K565,0)</f>
        <v>69320</v>
      </c>
    </row>
    <row r="566" spans="1:17" x14ac:dyDescent="0.25">
      <c r="A566" s="48" t="s">
        <v>275</v>
      </c>
      <c r="B566" s="49" t="s">
        <v>245</v>
      </c>
      <c r="C566" s="48" t="s">
        <v>272</v>
      </c>
      <c r="D566" s="109">
        <v>297852686</v>
      </c>
      <c r="E566" s="109">
        <v>2525832994</v>
      </c>
      <c r="F566" s="48" t="s">
        <v>256</v>
      </c>
      <c r="G566" s="108">
        <f>39158+(364+182)</f>
        <v>39704</v>
      </c>
      <c r="H566" s="53" t="str">
        <f>CHOOSE(MONTH(G566),"Jan","Feb","Mar","Apr","May","Jun","Jul","Aug","Sep","Oct","Nov","Dec")</f>
        <v>Sep</v>
      </c>
      <c r="I566" s="54">
        <f ca="1">DATEDIF(G566,TODAY(),"Y")</f>
        <v>8</v>
      </c>
      <c r="J566" s="55" t="s">
        <v>276</v>
      </c>
      <c r="K566" s="56">
        <v>58290</v>
      </c>
      <c r="L566" s="57">
        <v>5</v>
      </c>
      <c r="M566" s="62">
        <f>ROUND(K566*P564+K566,0)</f>
        <v>58290</v>
      </c>
      <c r="O566" s="107"/>
    </row>
    <row r="567" spans="1:17" x14ac:dyDescent="0.25">
      <c r="A567" s="42" t="s">
        <v>866</v>
      </c>
      <c r="B567" s="49" t="s">
        <v>285</v>
      </c>
      <c r="C567" s="42" t="s">
        <v>856</v>
      </c>
      <c r="D567" s="105">
        <v>932553359</v>
      </c>
      <c r="E567" s="105">
        <v>9192376215</v>
      </c>
      <c r="F567" s="42" t="s">
        <v>247</v>
      </c>
      <c r="G567" s="84">
        <f>39174+(364+182)</f>
        <v>39720</v>
      </c>
      <c r="H567" s="53" t="str">
        <f>CHOOSE(MONTH(G567),"Jan","Feb","Mar","Apr","May","Jun","Jul","Aug","Sep","Oct","Nov","Dec")</f>
        <v>Sep</v>
      </c>
      <c r="I567" s="54">
        <f ca="1">DATEDIF(G567,TODAY(),"Y")</f>
        <v>8</v>
      </c>
      <c r="J567" s="55"/>
      <c r="K567" s="56">
        <v>43320</v>
      </c>
      <c r="L567" s="57">
        <v>5</v>
      </c>
      <c r="M567" s="62">
        <f>ROUND(K567*P565+K567,0)</f>
        <v>43320</v>
      </c>
    </row>
    <row r="568" spans="1:17" x14ac:dyDescent="0.25">
      <c r="A568" s="42" t="s">
        <v>892</v>
      </c>
      <c r="B568" s="49" t="s">
        <v>280</v>
      </c>
      <c r="C568" s="42" t="s">
        <v>856</v>
      </c>
      <c r="D568" s="105">
        <v>491830893</v>
      </c>
      <c r="E568" s="105">
        <v>2524713634</v>
      </c>
      <c r="F568" s="42" t="s">
        <v>256</v>
      </c>
      <c r="G568" s="84">
        <f>39532+(364+182)</f>
        <v>40078</v>
      </c>
      <c r="H568" s="53" t="str">
        <f>CHOOSE(MONTH(G568),"Jan","Feb","Mar","Apr","May","Jun","Jul","Aug","Sep","Oct","Nov","Dec")</f>
        <v>Sep</v>
      </c>
      <c r="I568" s="54">
        <f ca="1">DATEDIF(G568,TODAY(),"Y")</f>
        <v>7</v>
      </c>
      <c r="J568" s="55" t="s">
        <v>283</v>
      </c>
      <c r="K568" s="56">
        <v>23190</v>
      </c>
      <c r="L568" s="57">
        <v>5</v>
      </c>
      <c r="M568" s="62">
        <f>ROUND(K568*P566+K568,0)</f>
        <v>23190</v>
      </c>
    </row>
    <row r="569" spans="1:17" x14ac:dyDescent="0.25">
      <c r="A569" s="42" t="s">
        <v>648</v>
      </c>
      <c r="B569" s="49" t="s">
        <v>266</v>
      </c>
      <c r="C569" s="42" t="s">
        <v>626</v>
      </c>
      <c r="D569" s="105">
        <v>506165137</v>
      </c>
      <c r="E569" s="105">
        <v>9193613417</v>
      </c>
      <c r="F569" s="42" t="s">
        <v>256</v>
      </c>
      <c r="G569" s="84">
        <f>39537+(364+182)</f>
        <v>40083</v>
      </c>
      <c r="H569" s="53" t="str">
        <f>CHOOSE(MONTH(G569),"Jan","Feb","Mar","Apr","May","Jun","Jul","Aug","Sep","Oct","Nov","Dec")</f>
        <v>Sep</v>
      </c>
      <c r="I569" s="54">
        <f ca="1">DATEDIF(G569,TODAY(),"Y")</f>
        <v>7</v>
      </c>
      <c r="J569" s="55" t="s">
        <v>283</v>
      </c>
      <c r="K569" s="56">
        <v>44150</v>
      </c>
      <c r="L569" s="57">
        <v>4</v>
      </c>
      <c r="M569" s="62">
        <f>ROUND(K569*P567+K569,0)</f>
        <v>44150</v>
      </c>
    </row>
    <row r="570" spans="1:17" x14ac:dyDescent="0.25">
      <c r="A570" s="42" t="s">
        <v>351</v>
      </c>
      <c r="B570" s="49" t="s">
        <v>271</v>
      </c>
      <c r="C570" s="42" t="s">
        <v>312</v>
      </c>
      <c r="D570" s="105">
        <v>873100939</v>
      </c>
      <c r="E570" s="105">
        <v>9191259179</v>
      </c>
      <c r="F570" s="42" t="s">
        <v>256</v>
      </c>
      <c r="G570" s="84">
        <f>39539+(364+182)</f>
        <v>40085</v>
      </c>
      <c r="H570" s="53" t="str">
        <f>CHOOSE(MONTH(G570),"Jan","Feb","Mar","Apr","May","Jun","Jul","Aug","Sep","Oct","Nov","Dec")</f>
        <v>Sep</v>
      </c>
      <c r="I570" s="54">
        <f ca="1">DATEDIF(G570,TODAY(),"Y")</f>
        <v>7</v>
      </c>
      <c r="J570" s="55" t="s">
        <v>257</v>
      </c>
      <c r="K570" s="56">
        <v>41490</v>
      </c>
      <c r="L570" s="57">
        <v>5</v>
      </c>
      <c r="M570" s="62">
        <f>ROUND(K570*P568+K570,0)</f>
        <v>41490</v>
      </c>
    </row>
    <row r="571" spans="1:17" x14ac:dyDescent="0.25">
      <c r="A571" s="42" t="s">
        <v>788</v>
      </c>
      <c r="B571" s="49" t="s">
        <v>285</v>
      </c>
      <c r="C571" s="42" t="s">
        <v>767</v>
      </c>
      <c r="D571" s="105">
        <v>953109212</v>
      </c>
      <c r="E571" s="105">
        <v>9191664940</v>
      </c>
      <c r="F571" s="42" t="s">
        <v>256</v>
      </c>
      <c r="G571" s="84">
        <f>39892+(364+182)</f>
        <v>40438</v>
      </c>
      <c r="H571" s="53" t="str">
        <f>CHOOSE(MONTH(G571),"Jan","Feb","Mar","Apr","May","Jun","Jul","Aug","Sep","Oct","Nov","Dec")</f>
        <v>Sep</v>
      </c>
      <c r="I571" s="54">
        <f ca="1">DATEDIF(G571,TODAY(),"Y")</f>
        <v>6</v>
      </c>
      <c r="J571" s="55" t="s">
        <v>267</v>
      </c>
      <c r="K571" s="56">
        <v>59150</v>
      </c>
      <c r="L571" s="57">
        <v>4</v>
      </c>
      <c r="M571" s="62">
        <f>ROUND(K571*P569+K571,0)</f>
        <v>59150</v>
      </c>
    </row>
    <row r="572" spans="1:17" x14ac:dyDescent="0.25">
      <c r="A572" s="42" t="s">
        <v>640</v>
      </c>
      <c r="B572" s="49" t="s">
        <v>271</v>
      </c>
      <c r="C572" s="42" t="s">
        <v>626</v>
      </c>
      <c r="D572" s="105">
        <v>999156829</v>
      </c>
      <c r="E572" s="105">
        <v>2521401774</v>
      </c>
      <c r="F572" s="42" t="s">
        <v>256</v>
      </c>
      <c r="G572" s="84">
        <f>39901+(364+182)</f>
        <v>40447</v>
      </c>
      <c r="H572" s="53" t="str">
        <f>CHOOSE(MONTH(G572),"Jan","Feb","Mar","Apr","May","Jun","Jul","Aug","Sep","Oct","Nov","Dec")</f>
        <v>Sep</v>
      </c>
      <c r="I572" s="54">
        <f ca="1">DATEDIF(G572,TODAY(),"Y")</f>
        <v>6</v>
      </c>
      <c r="J572" s="55" t="s">
        <v>257</v>
      </c>
      <c r="K572" s="56">
        <v>33970</v>
      </c>
      <c r="L572" s="57">
        <v>4</v>
      </c>
      <c r="M572" s="62">
        <f>ROUND(K572*P570+K572,0)</f>
        <v>33970</v>
      </c>
      <c r="P572" s="78"/>
      <c r="Q572" s="78"/>
    </row>
    <row r="573" spans="1:17" x14ac:dyDescent="0.25">
      <c r="A573" s="42" t="s">
        <v>606</v>
      </c>
      <c r="B573" s="49" t="s">
        <v>285</v>
      </c>
      <c r="C573" s="42" t="s">
        <v>465</v>
      </c>
      <c r="D573" s="105">
        <v>876777922</v>
      </c>
      <c r="E573" s="105">
        <v>2527358099</v>
      </c>
      <c r="F573" s="42" t="s">
        <v>247</v>
      </c>
      <c r="G573" s="106">
        <f>39903+(364+182)</f>
        <v>40449</v>
      </c>
      <c r="H573" s="53" t="str">
        <f>CHOOSE(MONTH(G573),"Jan","Feb","Mar","Apr","May","Jun","Jul","Aug","Sep","Oct","Nov","Dec")</f>
        <v>Sep</v>
      </c>
      <c r="I573" s="54">
        <f ca="1">DATEDIF(G573,TODAY(),"Y")</f>
        <v>6</v>
      </c>
      <c r="J573" s="55"/>
      <c r="K573" s="56">
        <v>88840</v>
      </c>
      <c r="L573" s="57">
        <v>5</v>
      </c>
      <c r="M573" s="62">
        <f>ROUND(K573*P571+K573,0)</f>
        <v>88840</v>
      </c>
    </row>
    <row r="574" spans="1:17" x14ac:dyDescent="0.25">
      <c r="A574" s="42" t="s">
        <v>753</v>
      </c>
      <c r="B574" s="49" t="s">
        <v>285</v>
      </c>
      <c r="C574" s="42" t="s">
        <v>750</v>
      </c>
      <c r="D574" s="105">
        <v>285295419</v>
      </c>
      <c r="E574" s="105">
        <v>9197904981</v>
      </c>
      <c r="F574" s="42" t="s">
        <v>252</v>
      </c>
      <c r="G574" s="84">
        <f>32612+(364+182)</f>
        <v>33158</v>
      </c>
      <c r="H574" s="53" t="str">
        <f>CHOOSE(MONTH(G574),"Jan","Feb","Mar","Apr","May","Jun","Jul","Aug","Sep","Oct","Nov","Dec")</f>
        <v>Oct</v>
      </c>
      <c r="I574" s="54">
        <f ca="1">DATEDIF(G574,TODAY(),"Y")</f>
        <v>26</v>
      </c>
      <c r="J574" s="55"/>
      <c r="K574" s="56">
        <v>33232</v>
      </c>
      <c r="L574" s="57">
        <v>4</v>
      </c>
      <c r="M574" s="62">
        <f>ROUND(K574*P572+K574,0)</f>
        <v>33232</v>
      </c>
    </row>
    <row r="575" spans="1:17" x14ac:dyDescent="0.25">
      <c r="A575" s="42" t="s">
        <v>763</v>
      </c>
      <c r="B575" s="49" t="s">
        <v>245</v>
      </c>
      <c r="C575" s="42" t="s">
        <v>750</v>
      </c>
      <c r="D575" s="105">
        <v>671360508</v>
      </c>
      <c r="E575" s="105">
        <v>2528385730</v>
      </c>
      <c r="F575" s="42" t="s">
        <v>261</v>
      </c>
      <c r="G575" s="111">
        <f>32614+(364+182)</f>
        <v>33160</v>
      </c>
      <c r="H575" s="53" t="str">
        <f>CHOOSE(MONTH(G575),"Jan","Feb","Mar","Apr","May","Jun","Jul","Aug","Sep","Oct","Nov","Dec")</f>
        <v>Oct</v>
      </c>
      <c r="I575" s="54">
        <f ca="1">DATEDIF(G575,TODAY(),"Y")</f>
        <v>26</v>
      </c>
      <c r="J575" s="55" t="s">
        <v>262</v>
      </c>
      <c r="K575" s="56">
        <v>39620</v>
      </c>
      <c r="L575" s="57">
        <v>5</v>
      </c>
      <c r="M575" s="62">
        <f>ROUND(K575*P573+K575,0)</f>
        <v>39620</v>
      </c>
    </row>
    <row r="576" spans="1:17" x14ac:dyDescent="0.25">
      <c r="A576" s="42" t="s">
        <v>845</v>
      </c>
      <c r="B576" s="49" t="s">
        <v>245</v>
      </c>
      <c r="C576" s="42" t="s">
        <v>767</v>
      </c>
      <c r="D576" s="105">
        <v>484442635</v>
      </c>
      <c r="E576" s="105">
        <v>2527194901</v>
      </c>
      <c r="F576" s="42" t="s">
        <v>247</v>
      </c>
      <c r="G576" s="84">
        <f>32621+(364+182)</f>
        <v>33167</v>
      </c>
      <c r="H576" s="53" t="str">
        <f>CHOOSE(MONTH(G576),"Jan","Feb","Mar","Apr","May","Jun","Jul","Aug","Sep","Oct","Nov","Dec")</f>
        <v>Oct</v>
      </c>
      <c r="I576" s="54">
        <f ca="1">DATEDIF(G576,TODAY(),"Y")</f>
        <v>26</v>
      </c>
      <c r="J576" s="55"/>
      <c r="K576" s="56">
        <v>23020</v>
      </c>
      <c r="L576" s="57">
        <v>4</v>
      </c>
      <c r="M576" s="62">
        <f>ROUND(K576*P574+K576,0)</f>
        <v>23020</v>
      </c>
    </row>
    <row r="577" spans="1:34" x14ac:dyDescent="0.25">
      <c r="A577" s="42" t="s">
        <v>749</v>
      </c>
      <c r="B577" s="49" t="s">
        <v>266</v>
      </c>
      <c r="C577" s="42" t="s">
        <v>750</v>
      </c>
      <c r="D577" s="105">
        <v>834061135</v>
      </c>
      <c r="E577" s="105">
        <v>9198472270</v>
      </c>
      <c r="F577" s="42" t="s">
        <v>256</v>
      </c>
      <c r="G577" s="84">
        <f>32967+(364+182)</f>
        <v>33513</v>
      </c>
      <c r="H577" s="53" t="str">
        <f>CHOOSE(MONTH(G577),"Jan","Feb","Mar","Apr","May","Jun","Jul","Aug","Sep","Oct","Nov","Dec")</f>
        <v>Oct</v>
      </c>
      <c r="I577" s="54">
        <f ca="1">DATEDIF(G577,TODAY(),"Y")</f>
        <v>25</v>
      </c>
      <c r="J577" s="55" t="s">
        <v>267</v>
      </c>
      <c r="K577" s="56">
        <v>44560</v>
      </c>
      <c r="L577" s="57">
        <v>2</v>
      </c>
      <c r="M577" s="62">
        <f>ROUND(K577*P575+K577,0)</f>
        <v>44560</v>
      </c>
    </row>
    <row r="578" spans="1:34" s="87" customFormat="1" x14ac:dyDescent="0.25">
      <c r="A578" s="42" t="s">
        <v>823</v>
      </c>
      <c r="B578" s="49" t="s">
        <v>271</v>
      </c>
      <c r="C578" s="42" t="s">
        <v>767</v>
      </c>
      <c r="D578" s="105">
        <v>387131597</v>
      </c>
      <c r="E578" s="105">
        <v>9191963194</v>
      </c>
      <c r="F578" s="42" t="s">
        <v>247</v>
      </c>
      <c r="G578" s="84">
        <f>32969+(364+182)</f>
        <v>33515</v>
      </c>
      <c r="H578" s="53" t="str">
        <f>CHOOSE(MONTH(G578),"Jan","Feb","Mar","Apr","May","Jun","Jul","Aug","Sep","Oct","Nov","Dec")</f>
        <v>Oct</v>
      </c>
      <c r="I578" s="54">
        <f ca="1">DATEDIF(G578,TODAY(),"Y")</f>
        <v>25</v>
      </c>
      <c r="J578" s="55"/>
      <c r="K578" s="56">
        <v>52750</v>
      </c>
      <c r="L578" s="57">
        <v>1</v>
      </c>
      <c r="M578" s="62">
        <f>ROUND(K578*P576+K578,0)</f>
        <v>52750</v>
      </c>
      <c r="N578" s="103"/>
      <c r="O578" s="48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</row>
    <row r="579" spans="1:34" s="87" customFormat="1" x14ac:dyDescent="0.25">
      <c r="A579" s="42" t="s">
        <v>808</v>
      </c>
      <c r="B579" s="49" t="s">
        <v>271</v>
      </c>
      <c r="C579" s="42" t="s">
        <v>767</v>
      </c>
      <c r="D579" s="105">
        <v>880747384</v>
      </c>
      <c r="E579" s="105">
        <v>9195220001</v>
      </c>
      <c r="F579" s="42" t="s">
        <v>256</v>
      </c>
      <c r="G579" s="84">
        <f>32980+(364+182)</f>
        <v>33526</v>
      </c>
      <c r="H579" s="53" t="str">
        <f>CHOOSE(MONTH(G579),"Jan","Feb","Mar","Apr","May","Jun","Jul","Aug","Sep","Oct","Nov","Dec")</f>
        <v>Oct</v>
      </c>
      <c r="I579" s="54">
        <f ca="1">DATEDIF(G579,TODAY(),"Y")</f>
        <v>25</v>
      </c>
      <c r="J579" s="55" t="s">
        <v>267</v>
      </c>
      <c r="K579" s="56">
        <v>79400</v>
      </c>
      <c r="L579" s="57">
        <v>4</v>
      </c>
      <c r="M579" s="62">
        <f>ROUND(K579*P577+K579,0)</f>
        <v>79400</v>
      </c>
      <c r="N579" s="103"/>
      <c r="O579" s="48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</row>
    <row r="580" spans="1:34" s="87" customFormat="1" x14ac:dyDescent="0.25">
      <c r="A580" s="42" t="s">
        <v>343</v>
      </c>
      <c r="B580" s="49" t="s">
        <v>271</v>
      </c>
      <c r="C580" s="42" t="s">
        <v>312</v>
      </c>
      <c r="D580" s="105">
        <v>631405285</v>
      </c>
      <c r="E580" s="105">
        <v>2527491979</v>
      </c>
      <c r="F580" s="42" t="s">
        <v>256</v>
      </c>
      <c r="G580" s="84">
        <f>32981+(364+182)</f>
        <v>33527</v>
      </c>
      <c r="H580" s="53" t="str">
        <f>CHOOSE(MONTH(G580),"Jan","Feb","Mar","Apr","May","Jun","Jul","Aug","Sep","Oct","Nov","Dec")</f>
        <v>Oct</v>
      </c>
      <c r="I580" s="54">
        <f ca="1">DATEDIF(G580,TODAY(),"Y")</f>
        <v>25</v>
      </c>
      <c r="J580" s="55" t="s">
        <v>283</v>
      </c>
      <c r="K580" s="56">
        <v>85920</v>
      </c>
      <c r="L580" s="57">
        <v>4</v>
      </c>
      <c r="M580" s="62">
        <f>ROUND(K580*P578+K580,0)</f>
        <v>85920</v>
      </c>
      <c r="N580" s="103"/>
      <c r="O580" s="48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</row>
    <row r="581" spans="1:34" s="87" customFormat="1" x14ac:dyDescent="0.25">
      <c r="A581" s="42" t="s">
        <v>756</v>
      </c>
      <c r="B581" s="49" t="s">
        <v>271</v>
      </c>
      <c r="C581" s="42" t="s">
        <v>750</v>
      </c>
      <c r="D581" s="105">
        <v>444159297</v>
      </c>
      <c r="E581" s="105">
        <v>2522456406</v>
      </c>
      <c r="F581" s="42" t="s">
        <v>256</v>
      </c>
      <c r="G581" s="84">
        <f>32990+(364+182)</f>
        <v>33536</v>
      </c>
      <c r="H581" s="53" t="str">
        <f>CHOOSE(MONTH(G581),"Jan","Feb","Mar","Apr","May","Jun","Jul","Aug","Sep","Oct","Nov","Dec")</f>
        <v>Oct</v>
      </c>
      <c r="I581" s="54">
        <f ca="1">DATEDIF(G581,TODAY(),"Y")</f>
        <v>25</v>
      </c>
      <c r="J581" s="55" t="s">
        <v>257</v>
      </c>
      <c r="K581" s="56">
        <v>81530</v>
      </c>
      <c r="L581" s="57">
        <v>5</v>
      </c>
      <c r="M581" s="62">
        <f>ROUND(K581*P579+K581,0)</f>
        <v>81530</v>
      </c>
      <c r="N581" s="103"/>
      <c r="O581" s="48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</row>
    <row r="582" spans="1:34" s="87" customFormat="1" x14ac:dyDescent="0.25">
      <c r="A582" s="42" t="s">
        <v>733</v>
      </c>
      <c r="B582" s="49" t="s">
        <v>285</v>
      </c>
      <c r="C582" s="42" t="s">
        <v>705</v>
      </c>
      <c r="D582" s="105">
        <v>868128171</v>
      </c>
      <c r="E582" s="105">
        <v>2525048978</v>
      </c>
      <c r="F582" s="42" t="s">
        <v>256</v>
      </c>
      <c r="G582" s="84">
        <f>33332+(364+182)</f>
        <v>33878</v>
      </c>
      <c r="H582" s="53" t="str">
        <f>CHOOSE(MONTH(G582),"Jan","Feb","Mar","Apr","May","Jun","Jul","Aug","Sep","Oct","Nov","Dec")</f>
        <v>Oct</v>
      </c>
      <c r="I582" s="54">
        <f ca="1">DATEDIF(G582,TODAY(),"Y")</f>
        <v>24</v>
      </c>
      <c r="J582" s="55" t="s">
        <v>276</v>
      </c>
      <c r="K582" s="56">
        <v>75370</v>
      </c>
      <c r="L582" s="57">
        <v>2</v>
      </c>
      <c r="M582" s="62">
        <f>ROUND(K582*P580+K582,0)</f>
        <v>75370</v>
      </c>
      <c r="N582" s="103"/>
      <c r="O582" s="48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</row>
    <row r="583" spans="1:34" s="87" customFormat="1" x14ac:dyDescent="0.25">
      <c r="A583" s="42" t="s">
        <v>736</v>
      </c>
      <c r="B583" s="49" t="s">
        <v>271</v>
      </c>
      <c r="C583" s="42" t="s">
        <v>705</v>
      </c>
      <c r="D583" s="105">
        <v>150132247</v>
      </c>
      <c r="E583" s="105">
        <v>9198561612</v>
      </c>
      <c r="F583" s="42" t="s">
        <v>256</v>
      </c>
      <c r="G583" s="84">
        <f>33335+(364+182)</f>
        <v>33881</v>
      </c>
      <c r="H583" s="53" t="str">
        <f>CHOOSE(MONTH(G583),"Jan","Feb","Mar","Apr","May","Jun","Jul","Aug","Sep","Oct","Nov","Dec")</f>
        <v>Oct</v>
      </c>
      <c r="I583" s="54">
        <f ca="1">DATEDIF(G583,TODAY(),"Y")</f>
        <v>24</v>
      </c>
      <c r="J583" s="55" t="s">
        <v>276</v>
      </c>
      <c r="K583" s="56">
        <v>46910</v>
      </c>
      <c r="L583" s="57">
        <v>3</v>
      </c>
      <c r="M583" s="62">
        <f>ROUND(K583*P581+K583,0)</f>
        <v>46910</v>
      </c>
      <c r="N583" s="103"/>
      <c r="O583" s="48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</row>
    <row r="584" spans="1:34" s="87" customFormat="1" x14ac:dyDescent="0.25">
      <c r="A584" s="42" t="s">
        <v>884</v>
      </c>
      <c r="B584" s="49" t="s">
        <v>266</v>
      </c>
      <c r="C584" s="42" t="s">
        <v>856</v>
      </c>
      <c r="D584" s="105">
        <v>878902154</v>
      </c>
      <c r="E584" s="105">
        <v>9191155509</v>
      </c>
      <c r="F584" s="42" t="s">
        <v>261</v>
      </c>
      <c r="G584" s="84">
        <f>33344+(364+182)</f>
        <v>33890</v>
      </c>
      <c r="H584" s="53" t="str">
        <f>CHOOSE(MONTH(G584),"Jan","Feb","Mar","Apr","May","Jun","Jul","Aug","Sep","Oct","Nov","Dec")</f>
        <v>Oct</v>
      </c>
      <c r="I584" s="54">
        <f ca="1">DATEDIF(G584,TODAY(),"Y")</f>
        <v>24</v>
      </c>
      <c r="J584" s="55" t="s">
        <v>283</v>
      </c>
      <c r="K584" s="56">
        <v>25885</v>
      </c>
      <c r="L584" s="57">
        <v>5</v>
      </c>
      <c r="M584" s="62">
        <f>ROUND(K584*P582+K584,0)</f>
        <v>25885</v>
      </c>
      <c r="N584" s="103"/>
      <c r="O584" s="48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</row>
    <row r="585" spans="1:34" s="87" customFormat="1" x14ac:dyDescent="0.25">
      <c r="A585" s="42" t="s">
        <v>350</v>
      </c>
      <c r="B585" s="49" t="s">
        <v>285</v>
      </c>
      <c r="C585" s="42" t="s">
        <v>312</v>
      </c>
      <c r="D585" s="105">
        <v>951516517</v>
      </c>
      <c r="E585" s="105">
        <v>2524936058</v>
      </c>
      <c r="F585" s="42" t="s">
        <v>256</v>
      </c>
      <c r="G585" s="84">
        <f>33349+(364+182)</f>
        <v>33895</v>
      </c>
      <c r="H585" s="53" t="str">
        <f>CHOOSE(MONTH(G585),"Jan","Feb","Mar","Apr","May","Jun","Jul","Aug","Sep","Oct","Nov","Dec")</f>
        <v>Oct</v>
      </c>
      <c r="I585" s="54">
        <f ca="1">DATEDIF(G585,TODAY(),"Y")</f>
        <v>24</v>
      </c>
      <c r="J585" s="55" t="s">
        <v>283</v>
      </c>
      <c r="K585" s="56">
        <v>71670</v>
      </c>
      <c r="L585" s="57">
        <v>4</v>
      </c>
      <c r="M585" s="62">
        <f>ROUND(K585*P583+K585,0)</f>
        <v>71670</v>
      </c>
      <c r="N585" s="103"/>
      <c r="O585" s="48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</row>
    <row r="586" spans="1:34" s="87" customFormat="1" x14ac:dyDescent="0.25">
      <c r="A586" s="42" t="s">
        <v>679</v>
      </c>
      <c r="B586" s="49" t="s">
        <v>285</v>
      </c>
      <c r="C586" s="42" t="s">
        <v>678</v>
      </c>
      <c r="D586" s="105">
        <v>802700229</v>
      </c>
      <c r="E586" s="105">
        <v>2524264889</v>
      </c>
      <c r="F586" s="42" t="s">
        <v>256</v>
      </c>
      <c r="G586" s="84">
        <f>33358+(364+182)</f>
        <v>33904</v>
      </c>
      <c r="H586" s="53" t="str">
        <f>CHOOSE(MONTH(G586),"Jan","Feb","Mar","Apr","May","Jun","Jul","Aug","Sep","Oct","Nov","Dec")</f>
        <v>Oct</v>
      </c>
      <c r="I586" s="54">
        <f ca="1">DATEDIF(G586,TODAY(),"Y")</f>
        <v>24</v>
      </c>
      <c r="J586" s="55" t="s">
        <v>262</v>
      </c>
      <c r="K586" s="56">
        <v>87980</v>
      </c>
      <c r="L586" s="57">
        <v>1</v>
      </c>
      <c r="M586" s="62">
        <f>ROUND(K586*P584+K586,0)</f>
        <v>87980</v>
      </c>
      <c r="N586" s="103"/>
      <c r="O586" s="48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</row>
    <row r="587" spans="1:34" s="87" customFormat="1" x14ac:dyDescent="0.25">
      <c r="A587" s="42" t="s">
        <v>472</v>
      </c>
      <c r="B587" s="49" t="s">
        <v>280</v>
      </c>
      <c r="C587" s="42" t="s">
        <v>465</v>
      </c>
      <c r="D587" s="105">
        <v>647552282</v>
      </c>
      <c r="E587" s="105">
        <v>9193392642</v>
      </c>
      <c r="F587" s="42" t="s">
        <v>247</v>
      </c>
      <c r="G587" s="84">
        <f>33719+(364+182)</f>
        <v>34265</v>
      </c>
      <c r="H587" s="53" t="str">
        <f>CHOOSE(MONTH(G587),"Jan","Feb","Mar","Apr","May","Jun","Jul","Aug","Sep","Oct","Nov","Dec")</f>
        <v>Oct</v>
      </c>
      <c r="I587" s="54">
        <f ca="1">DATEDIF(G587,TODAY(),"Y")</f>
        <v>23</v>
      </c>
      <c r="J587" s="55"/>
      <c r="K587" s="56">
        <v>35460</v>
      </c>
      <c r="L587" s="57">
        <v>3</v>
      </c>
      <c r="M587" s="62">
        <f>ROUND(K587*P585+K587,0)</f>
        <v>35460</v>
      </c>
      <c r="N587" s="103"/>
      <c r="O587" s="48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</row>
    <row r="588" spans="1:34" s="87" customFormat="1" x14ac:dyDescent="0.25">
      <c r="A588" s="42" t="s">
        <v>734</v>
      </c>
      <c r="B588" s="49" t="s">
        <v>251</v>
      </c>
      <c r="C588" s="42" t="s">
        <v>705</v>
      </c>
      <c r="D588" s="105">
        <v>302854692</v>
      </c>
      <c r="E588" s="105">
        <v>2528651774</v>
      </c>
      <c r="F588" s="42" t="s">
        <v>261</v>
      </c>
      <c r="G588" s="84">
        <f>34071+(364+182)</f>
        <v>34617</v>
      </c>
      <c r="H588" s="53" t="str">
        <f>CHOOSE(MONTH(G588),"Jan","Feb","Mar","Apr","May","Jun","Jul","Aug","Sep","Oct","Nov","Dec")</f>
        <v>Oct</v>
      </c>
      <c r="I588" s="54">
        <f ca="1">DATEDIF(G588,TODAY(),"Y")</f>
        <v>22</v>
      </c>
      <c r="J588" s="55" t="s">
        <v>257</v>
      </c>
      <c r="K588" s="56">
        <v>13435</v>
      </c>
      <c r="L588" s="57">
        <v>1</v>
      </c>
      <c r="M588" s="62">
        <f>ROUND(K588*P586+K588,0)</f>
        <v>13435</v>
      </c>
      <c r="N588" s="103"/>
      <c r="O588" s="48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</row>
    <row r="589" spans="1:34" s="87" customFormat="1" x14ac:dyDescent="0.25">
      <c r="A589" s="42" t="s">
        <v>813</v>
      </c>
      <c r="B589" s="49" t="s">
        <v>245</v>
      </c>
      <c r="C589" s="42" t="s">
        <v>767</v>
      </c>
      <c r="D589" s="105">
        <v>476243591</v>
      </c>
      <c r="E589" s="105">
        <v>9197188067</v>
      </c>
      <c r="F589" s="42" t="s">
        <v>256</v>
      </c>
      <c r="G589" s="84">
        <f>34443+(364+182)</f>
        <v>34989</v>
      </c>
      <c r="H589" s="53" t="str">
        <f>CHOOSE(MONTH(G589),"Jan","Feb","Mar","Apr","May","Jun","Jul","Aug","Sep","Oct","Nov","Dec")</f>
        <v>Oct</v>
      </c>
      <c r="I589" s="54">
        <f ca="1">DATEDIF(G589,TODAY(),"Y")</f>
        <v>21</v>
      </c>
      <c r="J589" s="55" t="s">
        <v>257</v>
      </c>
      <c r="K589" s="56">
        <v>50570</v>
      </c>
      <c r="L589" s="57">
        <v>4</v>
      </c>
      <c r="M589" s="62">
        <f>ROUND(K589*P587+K589,0)</f>
        <v>50570</v>
      </c>
      <c r="N589" s="103"/>
      <c r="O589" s="48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</row>
    <row r="590" spans="1:34" s="87" customFormat="1" x14ac:dyDescent="0.25">
      <c r="A590" s="42" t="s">
        <v>321</v>
      </c>
      <c r="B590" s="49" t="s">
        <v>266</v>
      </c>
      <c r="C590" s="42" t="s">
        <v>312</v>
      </c>
      <c r="D590" s="105">
        <v>964243524</v>
      </c>
      <c r="E590" s="105">
        <v>2522339143</v>
      </c>
      <c r="F590" s="42" t="s">
        <v>256</v>
      </c>
      <c r="G590" s="84">
        <f>34450+(364+182)</f>
        <v>34996</v>
      </c>
      <c r="H590" s="53" t="str">
        <f>CHOOSE(MONTH(G590),"Jan","Feb","Mar","Apr","May","Jun","Jul","Aug","Sep","Oct","Nov","Dec")</f>
        <v>Oct</v>
      </c>
      <c r="I590" s="54">
        <f ca="1">DATEDIF(G590,TODAY(),"Y")</f>
        <v>21</v>
      </c>
      <c r="J590" s="55" t="s">
        <v>257</v>
      </c>
      <c r="K590" s="56">
        <v>67890</v>
      </c>
      <c r="L590" s="57">
        <v>5</v>
      </c>
      <c r="M590" s="62">
        <f>ROUND(K590*P588+K590,0)</f>
        <v>67890</v>
      </c>
      <c r="N590" s="103"/>
      <c r="O590" s="48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</row>
    <row r="591" spans="1:34" s="87" customFormat="1" x14ac:dyDescent="0.25">
      <c r="A591" s="42" t="s">
        <v>713</v>
      </c>
      <c r="B591" s="49" t="s">
        <v>245</v>
      </c>
      <c r="C591" s="42" t="s">
        <v>705</v>
      </c>
      <c r="D591" s="105">
        <v>869524136</v>
      </c>
      <c r="E591" s="105">
        <v>9193640748</v>
      </c>
      <c r="F591" s="42" t="s">
        <v>256</v>
      </c>
      <c r="G591" s="84">
        <f>34793+(364+182)</f>
        <v>35339</v>
      </c>
      <c r="H591" s="53" t="str">
        <f>CHOOSE(MONTH(G591),"Jan","Feb","Mar","Apr","May","Jun","Jul","Aug","Sep","Oct","Nov","Dec")</f>
        <v>Oct</v>
      </c>
      <c r="I591" s="54">
        <f ca="1">DATEDIF(G591,TODAY(),"Y")</f>
        <v>20</v>
      </c>
      <c r="J591" s="55" t="s">
        <v>283</v>
      </c>
      <c r="K591" s="56">
        <v>43410</v>
      </c>
      <c r="L591" s="57">
        <v>1</v>
      </c>
      <c r="M591" s="62">
        <f>ROUND(K591*P589+K591,0)</f>
        <v>43410</v>
      </c>
      <c r="N591" s="103"/>
      <c r="O591" s="48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</row>
    <row r="592" spans="1:34" s="87" customFormat="1" x14ac:dyDescent="0.25">
      <c r="A592" s="42" t="s">
        <v>543</v>
      </c>
      <c r="B592" s="49" t="s">
        <v>251</v>
      </c>
      <c r="C592" s="42" t="s">
        <v>465</v>
      </c>
      <c r="D592" s="105">
        <v>624234626</v>
      </c>
      <c r="E592" s="105">
        <v>2523077504</v>
      </c>
      <c r="F592" s="42" t="s">
        <v>261</v>
      </c>
      <c r="G592" s="84">
        <f>34797+(364+182)</f>
        <v>35343</v>
      </c>
      <c r="H592" s="53" t="str">
        <f>CHOOSE(MONTH(G592),"Jan","Feb","Mar","Apr","May","Jun","Jul","Aug","Sep","Oct","Nov","Dec")</f>
        <v>Oct</v>
      </c>
      <c r="I592" s="54">
        <f ca="1">DATEDIF(G592,TODAY(),"Y")</f>
        <v>20</v>
      </c>
      <c r="J592" s="55" t="s">
        <v>257</v>
      </c>
      <c r="K592" s="56">
        <v>46645</v>
      </c>
      <c r="L592" s="57">
        <v>5</v>
      </c>
      <c r="M592" s="62">
        <f>ROUND(K592*P590+K592,0)</f>
        <v>46645</v>
      </c>
      <c r="N592" s="103"/>
      <c r="O592" s="48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</row>
    <row r="593" spans="1:34" s="87" customFormat="1" x14ac:dyDescent="0.25">
      <c r="A593" s="42" t="s">
        <v>467</v>
      </c>
      <c r="B593" s="49" t="s">
        <v>271</v>
      </c>
      <c r="C593" s="42" t="s">
        <v>465</v>
      </c>
      <c r="D593" s="105">
        <v>592631929</v>
      </c>
      <c r="E593" s="105">
        <v>2523922629</v>
      </c>
      <c r="F593" s="42" t="s">
        <v>247</v>
      </c>
      <c r="G593" s="84">
        <f>34803+(364+182)</f>
        <v>35349</v>
      </c>
      <c r="H593" s="53" t="str">
        <f>CHOOSE(MONTH(G593),"Jan","Feb","Mar","Apr","May","Jun","Jul","Aug","Sep","Oct","Nov","Dec")</f>
        <v>Oct</v>
      </c>
      <c r="I593" s="54">
        <f ca="1">DATEDIF(G593,TODAY(),"Y")</f>
        <v>20</v>
      </c>
      <c r="J593" s="55"/>
      <c r="K593" s="56">
        <v>52940</v>
      </c>
      <c r="L593" s="57">
        <v>4</v>
      </c>
      <c r="M593" s="62">
        <f>ROUND(K593*P591+K593,0)</f>
        <v>52940</v>
      </c>
      <c r="N593" s="103"/>
      <c r="O593" s="48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</row>
    <row r="594" spans="1:34" s="87" customFormat="1" x14ac:dyDescent="0.25">
      <c r="A594" s="42" t="s">
        <v>575</v>
      </c>
      <c r="B594" s="49" t="s">
        <v>271</v>
      </c>
      <c r="C594" s="42" t="s">
        <v>465</v>
      </c>
      <c r="D594" s="105">
        <v>371001908</v>
      </c>
      <c r="E594" s="105">
        <v>2527061632</v>
      </c>
      <c r="F594" s="42" t="s">
        <v>256</v>
      </c>
      <c r="G594" s="84">
        <f>34810+(364+182)</f>
        <v>35356</v>
      </c>
      <c r="H594" s="53" t="str">
        <f>CHOOSE(MONTH(G594),"Jan","Feb","Mar","Apr","May","Jun","Jul","Aug","Sep","Oct","Nov","Dec")</f>
        <v>Oct</v>
      </c>
      <c r="I594" s="54">
        <f ca="1">DATEDIF(G594,TODAY(),"Y")</f>
        <v>20</v>
      </c>
      <c r="J594" s="55" t="s">
        <v>262</v>
      </c>
      <c r="K594" s="56">
        <v>45480</v>
      </c>
      <c r="L594" s="57">
        <v>4</v>
      </c>
      <c r="M594" s="62">
        <f>ROUND(K594*P592+K594,0)</f>
        <v>45480</v>
      </c>
      <c r="N594" s="103"/>
      <c r="O594" s="48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</row>
    <row r="595" spans="1:34" s="87" customFormat="1" x14ac:dyDescent="0.25">
      <c r="A595" s="42" t="s">
        <v>885</v>
      </c>
      <c r="B595" s="49" t="s">
        <v>271</v>
      </c>
      <c r="C595" s="42" t="s">
        <v>856</v>
      </c>
      <c r="D595" s="105">
        <v>562497973</v>
      </c>
      <c r="E595" s="105">
        <v>2524111882</v>
      </c>
      <c r="F595" s="42" t="s">
        <v>256</v>
      </c>
      <c r="G595" s="84">
        <f>34810+(364+182)</f>
        <v>35356</v>
      </c>
      <c r="H595" s="53" t="str">
        <f>CHOOSE(MONTH(G595),"Jan","Feb","Mar","Apr","May","Jun","Jul","Aug","Sep","Oct","Nov","Dec")</f>
        <v>Oct</v>
      </c>
      <c r="I595" s="54">
        <f ca="1">DATEDIF(G595,TODAY(),"Y")</f>
        <v>20</v>
      </c>
      <c r="J595" s="55" t="s">
        <v>262</v>
      </c>
      <c r="K595" s="56">
        <v>63030</v>
      </c>
      <c r="L595" s="57">
        <v>1</v>
      </c>
      <c r="M595" s="62">
        <f>ROUND(K595*P593+K595,0)</f>
        <v>63030</v>
      </c>
      <c r="N595" s="103"/>
      <c r="O595" s="48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</row>
    <row r="596" spans="1:34" s="87" customFormat="1" x14ac:dyDescent="0.25">
      <c r="A596" s="42" t="s">
        <v>473</v>
      </c>
      <c r="B596" s="49" t="s">
        <v>266</v>
      </c>
      <c r="C596" s="42" t="s">
        <v>465</v>
      </c>
      <c r="D596" s="105">
        <v>906321388</v>
      </c>
      <c r="E596" s="105">
        <v>2527919826</v>
      </c>
      <c r="F596" s="42" t="s">
        <v>247</v>
      </c>
      <c r="G596" s="84">
        <f>34814+(364+182)</f>
        <v>35360</v>
      </c>
      <c r="H596" s="53" t="str">
        <f>CHOOSE(MONTH(G596),"Jan","Feb","Mar","Apr","May","Jun","Jul","Aug","Sep","Oct","Nov","Dec")</f>
        <v>Oct</v>
      </c>
      <c r="I596" s="54">
        <f ca="1">DATEDIF(G596,TODAY(),"Y")</f>
        <v>20</v>
      </c>
      <c r="J596" s="55"/>
      <c r="K596" s="56">
        <v>28260</v>
      </c>
      <c r="L596" s="57">
        <v>5</v>
      </c>
      <c r="M596" s="62">
        <f>ROUND(K596*P594+K596,0)</f>
        <v>28260</v>
      </c>
      <c r="N596" s="103"/>
      <c r="O596" s="48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</row>
    <row r="597" spans="1:34" s="87" customFormat="1" x14ac:dyDescent="0.25">
      <c r="A597" s="42" t="s">
        <v>550</v>
      </c>
      <c r="B597" s="49" t="s">
        <v>266</v>
      </c>
      <c r="C597" s="42" t="s">
        <v>465</v>
      </c>
      <c r="D597" s="105">
        <v>523758324</v>
      </c>
      <c r="E597" s="105">
        <v>9191308831</v>
      </c>
      <c r="F597" s="42" t="s">
        <v>256</v>
      </c>
      <c r="G597" s="84">
        <f>34815+(364+182)</f>
        <v>35361</v>
      </c>
      <c r="H597" s="53" t="str">
        <f>CHOOSE(MONTH(G597),"Jan","Feb","Mar","Apr","May","Jun","Jul","Aug","Sep","Oct","Nov","Dec")</f>
        <v>Oct</v>
      </c>
      <c r="I597" s="54">
        <f ca="1">DATEDIF(G597,TODAY(),"Y")</f>
        <v>20</v>
      </c>
      <c r="J597" s="55" t="s">
        <v>257</v>
      </c>
      <c r="K597" s="56">
        <v>59320</v>
      </c>
      <c r="L597" s="57">
        <v>4</v>
      </c>
      <c r="M597" s="62">
        <f>ROUND(K597*P595+K597,0)</f>
        <v>59320</v>
      </c>
      <c r="N597" s="103"/>
      <c r="O597" s="48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</row>
    <row r="598" spans="1:34" s="87" customFormat="1" x14ac:dyDescent="0.25">
      <c r="A598" s="42" t="s">
        <v>1007</v>
      </c>
      <c r="B598" s="49" t="s">
        <v>271</v>
      </c>
      <c r="C598" s="42" t="s">
        <v>930</v>
      </c>
      <c r="D598" s="105">
        <v>793256568</v>
      </c>
      <c r="E598" s="105">
        <v>9196999991</v>
      </c>
      <c r="F598" s="42" t="s">
        <v>256</v>
      </c>
      <c r="G598" s="84">
        <f>34818+(364+182)</f>
        <v>35364</v>
      </c>
      <c r="H598" s="53" t="str">
        <f>CHOOSE(MONTH(G598),"Jan","Feb","Mar","Apr","May","Jun","Jul","Aug","Sep","Oct","Nov","Dec")</f>
        <v>Oct</v>
      </c>
      <c r="I598" s="54">
        <f ca="1">DATEDIF(G598,TODAY(),"Y")</f>
        <v>20</v>
      </c>
      <c r="J598" s="55" t="s">
        <v>257</v>
      </c>
      <c r="K598" s="56">
        <v>27130</v>
      </c>
      <c r="L598" s="57">
        <v>5</v>
      </c>
      <c r="M598" s="62">
        <f>ROUND(K598*P596+K598,0)</f>
        <v>27130</v>
      </c>
      <c r="N598" s="103"/>
      <c r="O598" s="48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</row>
    <row r="599" spans="1:34" s="87" customFormat="1" x14ac:dyDescent="0.25">
      <c r="A599" s="42" t="s">
        <v>580</v>
      </c>
      <c r="B599" s="49" t="s">
        <v>245</v>
      </c>
      <c r="C599" s="42" t="s">
        <v>465</v>
      </c>
      <c r="D599" s="105">
        <v>136620388</v>
      </c>
      <c r="E599" s="105">
        <v>9195119214</v>
      </c>
      <c r="F599" s="42" t="s">
        <v>256</v>
      </c>
      <c r="G599" s="84">
        <f>35168+(364+182)</f>
        <v>35714</v>
      </c>
      <c r="H599" s="53" t="str">
        <f>CHOOSE(MONTH(G599),"Jan","Feb","Mar","Apr","May","Jun","Jul","Aug","Sep","Oct","Nov","Dec")</f>
        <v>Oct</v>
      </c>
      <c r="I599" s="54">
        <f ca="1">DATEDIF(G599,TODAY(),"Y")</f>
        <v>19</v>
      </c>
      <c r="J599" s="55" t="s">
        <v>262</v>
      </c>
      <c r="K599" s="56">
        <v>70020</v>
      </c>
      <c r="L599" s="57">
        <v>3</v>
      </c>
      <c r="M599" s="62">
        <f>ROUND(K599*P597+K599,0)</f>
        <v>70020</v>
      </c>
      <c r="N599" s="103"/>
      <c r="O599" s="48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</row>
    <row r="600" spans="1:34" s="87" customFormat="1" x14ac:dyDescent="0.25">
      <c r="A600" s="42" t="s">
        <v>920</v>
      </c>
      <c r="B600" s="49" t="s">
        <v>280</v>
      </c>
      <c r="C600" s="42" t="s">
        <v>856</v>
      </c>
      <c r="D600" s="105">
        <v>269873478</v>
      </c>
      <c r="E600" s="105">
        <v>9198244224</v>
      </c>
      <c r="F600" s="42" t="s">
        <v>256</v>
      </c>
      <c r="G600" s="84">
        <f>35169+(364+182)</f>
        <v>35715</v>
      </c>
      <c r="H600" s="53" t="str">
        <f>CHOOSE(MONTH(G600),"Jan","Feb","Mar","Apr","May","Jun","Jul","Aug","Sep","Oct","Nov","Dec")</f>
        <v>Oct</v>
      </c>
      <c r="I600" s="54">
        <f ca="1">DATEDIF(G600,TODAY(),"Y")</f>
        <v>19</v>
      </c>
      <c r="J600" s="55" t="s">
        <v>283</v>
      </c>
      <c r="K600" s="56">
        <v>32120</v>
      </c>
      <c r="L600" s="57">
        <v>1</v>
      </c>
      <c r="M600" s="62">
        <f>ROUND(K600*P598+K600,0)</f>
        <v>32120</v>
      </c>
      <c r="N600" s="103"/>
      <c r="O600" s="48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</row>
    <row r="601" spans="1:34" s="87" customFormat="1" x14ac:dyDescent="0.25">
      <c r="A601" s="42" t="s">
        <v>682</v>
      </c>
      <c r="B601" s="49" t="s">
        <v>251</v>
      </c>
      <c r="C601" s="42" t="s">
        <v>678</v>
      </c>
      <c r="D601" s="105">
        <v>859204644</v>
      </c>
      <c r="E601" s="105">
        <v>9191617913</v>
      </c>
      <c r="F601" s="42" t="s">
        <v>247</v>
      </c>
      <c r="G601" s="84">
        <f>35178+(364+182)</f>
        <v>35724</v>
      </c>
      <c r="H601" s="53" t="str">
        <f>CHOOSE(MONTH(G601),"Jan","Feb","Mar","Apr","May","Jun","Jul","Aug","Sep","Oct","Nov","Dec")</f>
        <v>Oct</v>
      </c>
      <c r="I601" s="54">
        <f ca="1">DATEDIF(G601,TODAY(),"Y")</f>
        <v>19</v>
      </c>
      <c r="J601" s="55"/>
      <c r="K601" s="56">
        <v>86470</v>
      </c>
      <c r="L601" s="57">
        <v>4</v>
      </c>
      <c r="M601" s="62">
        <f>ROUND(K601*P599+K601,0)</f>
        <v>86470</v>
      </c>
      <c r="N601" s="103"/>
      <c r="O601" s="48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</row>
    <row r="602" spans="1:34" s="87" customFormat="1" x14ac:dyDescent="0.25">
      <c r="A602" s="42" t="s">
        <v>900</v>
      </c>
      <c r="B602" s="49" t="s">
        <v>245</v>
      </c>
      <c r="C602" s="42" t="s">
        <v>856</v>
      </c>
      <c r="D602" s="105">
        <v>221347766</v>
      </c>
      <c r="E602" s="105">
        <v>2526853122</v>
      </c>
      <c r="F602" s="42" t="s">
        <v>247</v>
      </c>
      <c r="G602" s="84">
        <f>35524+(364+182)</f>
        <v>36070</v>
      </c>
      <c r="H602" s="53" t="str">
        <f>CHOOSE(MONTH(G602),"Jan","Feb","Mar","Apr","May","Jun","Jul","Aug","Sep","Oct","Nov","Dec")</f>
        <v>Oct</v>
      </c>
      <c r="I602" s="54">
        <f ca="1">DATEDIF(G602,TODAY(),"Y")</f>
        <v>18</v>
      </c>
      <c r="J602" s="55"/>
      <c r="K602" s="56">
        <v>59050</v>
      </c>
      <c r="L602" s="57">
        <v>4</v>
      </c>
      <c r="M602" s="62">
        <f>ROUND(K602*P600+K602,0)</f>
        <v>59050</v>
      </c>
      <c r="N602" s="103"/>
      <c r="O602" s="48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</row>
    <row r="603" spans="1:34" s="87" customFormat="1" x14ac:dyDescent="0.25">
      <c r="A603" s="42" t="s">
        <v>401</v>
      </c>
      <c r="B603" s="49" t="s">
        <v>271</v>
      </c>
      <c r="C603" s="42" t="s">
        <v>391</v>
      </c>
      <c r="D603" s="105">
        <v>863161920</v>
      </c>
      <c r="E603" s="105">
        <v>2523748373</v>
      </c>
      <c r="F603" s="42" t="s">
        <v>256</v>
      </c>
      <c r="G603" s="84">
        <f>35531+(364+182)</f>
        <v>36077</v>
      </c>
      <c r="H603" s="53" t="str">
        <f>CHOOSE(MONTH(G603),"Jan","Feb","Mar","Apr","May","Jun","Jul","Aug","Sep","Oct","Nov","Dec")</f>
        <v>Oct</v>
      </c>
      <c r="I603" s="54">
        <f ca="1">DATEDIF(G603,TODAY(),"Y")</f>
        <v>18</v>
      </c>
      <c r="J603" s="55" t="s">
        <v>283</v>
      </c>
      <c r="K603" s="56">
        <v>50110</v>
      </c>
      <c r="L603" s="57">
        <v>1</v>
      </c>
      <c r="M603" s="62">
        <f>ROUND(K603*P601+K603,0)</f>
        <v>50110</v>
      </c>
      <c r="N603" s="103"/>
      <c r="O603" s="48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</row>
    <row r="604" spans="1:34" s="87" customFormat="1" x14ac:dyDescent="0.25">
      <c r="A604" s="42" t="s">
        <v>903</v>
      </c>
      <c r="B604" s="49" t="s">
        <v>271</v>
      </c>
      <c r="C604" s="42" t="s">
        <v>856</v>
      </c>
      <c r="D604" s="105">
        <v>180832423</v>
      </c>
      <c r="E604" s="105">
        <v>9198097539</v>
      </c>
      <c r="F604" s="42" t="s">
        <v>256</v>
      </c>
      <c r="G604" s="84">
        <f>35532+(364+182)</f>
        <v>36078</v>
      </c>
      <c r="H604" s="53" t="str">
        <f>CHOOSE(MONTH(G604),"Jan","Feb","Mar","Apr","May","Jun","Jul","Aug","Sep","Oct","Nov","Dec")</f>
        <v>Oct</v>
      </c>
      <c r="I604" s="54">
        <f ca="1">DATEDIF(G604,TODAY(),"Y")</f>
        <v>18</v>
      </c>
      <c r="J604" s="55" t="s">
        <v>276</v>
      </c>
      <c r="K604" s="56">
        <v>79610</v>
      </c>
      <c r="L604" s="57">
        <v>2</v>
      </c>
      <c r="M604" s="62">
        <f>ROUND(K604*P602+K604,0)</f>
        <v>79610</v>
      </c>
      <c r="N604" s="103"/>
      <c r="O604" s="48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</row>
    <row r="605" spans="1:34" s="87" customFormat="1" x14ac:dyDescent="0.25">
      <c r="A605" s="42" t="s">
        <v>1017</v>
      </c>
      <c r="B605" s="49" t="s">
        <v>251</v>
      </c>
      <c r="C605" s="42" t="s">
        <v>930</v>
      </c>
      <c r="D605" s="105">
        <v>332494481</v>
      </c>
      <c r="E605" s="105">
        <v>9192094386</v>
      </c>
      <c r="F605" s="42" t="s">
        <v>256</v>
      </c>
      <c r="G605" s="84">
        <f>35534+(364+182)</f>
        <v>36080</v>
      </c>
      <c r="H605" s="53" t="str">
        <f>CHOOSE(MONTH(G605),"Jan","Feb","Mar","Apr","May","Jun","Jul","Aug","Sep","Oct","Nov","Dec")</f>
        <v>Oct</v>
      </c>
      <c r="I605" s="54">
        <f ca="1">DATEDIF(G605,TODAY(),"Y")</f>
        <v>18</v>
      </c>
      <c r="J605" s="55" t="s">
        <v>283</v>
      </c>
      <c r="K605" s="56">
        <v>48410</v>
      </c>
      <c r="L605" s="57">
        <v>5</v>
      </c>
      <c r="M605" s="62">
        <f>ROUND(K605*P603+K605,0)</f>
        <v>48410</v>
      </c>
      <c r="N605" s="103"/>
      <c r="O605" s="48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</row>
    <row r="606" spans="1:34" s="87" customFormat="1" x14ac:dyDescent="0.25">
      <c r="A606" s="42" t="s">
        <v>899</v>
      </c>
      <c r="B606" s="49" t="s">
        <v>245</v>
      </c>
      <c r="C606" s="42" t="s">
        <v>856</v>
      </c>
      <c r="D606" s="105">
        <v>291274360</v>
      </c>
      <c r="E606" s="105">
        <v>2524563177</v>
      </c>
      <c r="F606" s="42" t="s">
        <v>256</v>
      </c>
      <c r="G606" s="84">
        <f>35535+(364+182)</f>
        <v>36081</v>
      </c>
      <c r="H606" s="53" t="str">
        <f>CHOOSE(MONTH(G606),"Jan","Feb","Mar","Apr","May","Jun","Jul","Aug","Sep","Oct","Nov","Dec")</f>
        <v>Oct</v>
      </c>
      <c r="I606" s="54">
        <f ca="1">DATEDIF(G606,TODAY(),"Y")</f>
        <v>18</v>
      </c>
      <c r="J606" s="55" t="s">
        <v>283</v>
      </c>
      <c r="K606" s="56">
        <v>67407</v>
      </c>
      <c r="L606" s="57">
        <v>5</v>
      </c>
      <c r="M606" s="62">
        <f>ROUND(K606*P604+K606,0)</f>
        <v>67407</v>
      </c>
      <c r="N606" s="103"/>
      <c r="O606" s="48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</row>
    <row r="607" spans="1:34" s="87" customFormat="1" x14ac:dyDescent="0.25">
      <c r="A607" s="42" t="s">
        <v>420</v>
      </c>
      <c r="B607" s="49" t="s">
        <v>251</v>
      </c>
      <c r="C607" s="42" t="s">
        <v>417</v>
      </c>
      <c r="D607" s="105">
        <v>212136062</v>
      </c>
      <c r="E607" s="105">
        <v>9197226463</v>
      </c>
      <c r="F607" s="42" t="s">
        <v>256</v>
      </c>
      <c r="G607" s="84">
        <f>35536+(364+182)</f>
        <v>36082</v>
      </c>
      <c r="H607" s="53" t="str">
        <f>CHOOSE(MONTH(G607),"Jan","Feb","Mar","Apr","May","Jun","Jul","Aug","Sep","Oct","Nov","Dec")</f>
        <v>Oct</v>
      </c>
      <c r="I607" s="54">
        <f ca="1">DATEDIF(G607,TODAY(),"Y")</f>
        <v>18</v>
      </c>
      <c r="J607" s="55" t="s">
        <v>283</v>
      </c>
      <c r="K607" s="56">
        <v>82400</v>
      </c>
      <c r="L607" s="57">
        <v>2</v>
      </c>
      <c r="M607" s="62">
        <f>ROUND(K607*P605+K607,0)</f>
        <v>82400</v>
      </c>
      <c r="N607" s="103"/>
      <c r="O607" s="48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</row>
    <row r="608" spans="1:34" s="87" customFormat="1" x14ac:dyDescent="0.25">
      <c r="A608" s="42" t="s">
        <v>504</v>
      </c>
      <c r="B608" s="49" t="s">
        <v>280</v>
      </c>
      <c r="C608" s="42" t="s">
        <v>465</v>
      </c>
      <c r="D608" s="105">
        <v>504914685</v>
      </c>
      <c r="E608" s="105">
        <v>9195250630</v>
      </c>
      <c r="F608" s="42" t="s">
        <v>256</v>
      </c>
      <c r="G608" s="84">
        <f>35538+(364+182)</f>
        <v>36084</v>
      </c>
      <c r="H608" s="53" t="str">
        <f>CHOOSE(MONTH(G608),"Jan","Feb","Mar","Apr","May","Jun","Jul","Aug","Sep","Oct","Nov","Dec")</f>
        <v>Oct</v>
      </c>
      <c r="I608" s="54">
        <f ca="1">DATEDIF(G608,TODAY(),"Y")</f>
        <v>18</v>
      </c>
      <c r="J608" s="55" t="s">
        <v>257</v>
      </c>
      <c r="K608" s="56">
        <v>33210</v>
      </c>
      <c r="L608" s="57">
        <v>4</v>
      </c>
      <c r="M608" s="62">
        <f>ROUND(K608*P606+K608,0)</f>
        <v>33210</v>
      </c>
      <c r="N608" s="103"/>
      <c r="O608" s="48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</row>
    <row r="609" spans="1:34" s="87" customFormat="1" x14ac:dyDescent="0.25">
      <c r="A609" s="42" t="s">
        <v>696</v>
      </c>
      <c r="B609" s="49" t="s">
        <v>271</v>
      </c>
      <c r="C609" s="42" t="s">
        <v>678</v>
      </c>
      <c r="D609" s="105">
        <v>797431044</v>
      </c>
      <c r="E609" s="105">
        <v>2523820613</v>
      </c>
      <c r="F609" s="42" t="s">
        <v>252</v>
      </c>
      <c r="G609" s="84">
        <f>35538+(364+182)</f>
        <v>36084</v>
      </c>
      <c r="H609" s="53" t="str">
        <f>CHOOSE(MONTH(G609),"Jan","Feb","Mar","Apr","May","Jun","Jul","Aug","Sep","Oct","Nov","Dec")</f>
        <v>Oct</v>
      </c>
      <c r="I609" s="54">
        <f ca="1">DATEDIF(G609,TODAY(),"Y")</f>
        <v>18</v>
      </c>
      <c r="J609" s="55"/>
      <c r="K609" s="56">
        <v>21668</v>
      </c>
      <c r="L609" s="57">
        <v>4</v>
      </c>
      <c r="M609" s="62">
        <f>ROUND(K609*P607+K609,0)</f>
        <v>21668</v>
      </c>
      <c r="N609" s="103"/>
      <c r="O609" s="48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</row>
    <row r="610" spans="1:34" s="87" customFormat="1" x14ac:dyDescent="0.25">
      <c r="A610" s="42" t="s">
        <v>784</v>
      </c>
      <c r="B610" s="49" t="s">
        <v>285</v>
      </c>
      <c r="C610" s="42" t="s">
        <v>767</v>
      </c>
      <c r="D610" s="105">
        <v>349174221</v>
      </c>
      <c r="E610" s="105">
        <v>2521220758</v>
      </c>
      <c r="F610" s="42" t="s">
        <v>261</v>
      </c>
      <c r="G610" s="84">
        <f>35538+(364+182)</f>
        <v>36084</v>
      </c>
      <c r="H610" s="53" t="str">
        <f>CHOOSE(MONTH(G610),"Jan","Feb","Mar","Apr","May","Jun","Jul","Aug","Sep","Oct","Nov","Dec")</f>
        <v>Oct</v>
      </c>
      <c r="I610" s="54">
        <f ca="1">DATEDIF(G610,TODAY(),"Y")</f>
        <v>18</v>
      </c>
      <c r="J610" s="55" t="s">
        <v>262</v>
      </c>
      <c r="K610" s="56">
        <v>45750</v>
      </c>
      <c r="L610" s="57">
        <v>5</v>
      </c>
      <c r="M610" s="62">
        <f>ROUND(K610*P608+K610,0)</f>
        <v>45750</v>
      </c>
      <c r="N610" s="103"/>
      <c r="O610" s="48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</row>
    <row r="611" spans="1:34" s="87" customFormat="1" x14ac:dyDescent="0.25">
      <c r="A611" s="42" t="s">
        <v>776</v>
      </c>
      <c r="B611" s="49" t="s">
        <v>245</v>
      </c>
      <c r="C611" s="42" t="s">
        <v>767</v>
      </c>
      <c r="D611" s="105">
        <v>106686151</v>
      </c>
      <c r="E611" s="105">
        <v>2521246633</v>
      </c>
      <c r="F611" s="42" t="s">
        <v>247</v>
      </c>
      <c r="G611" s="84">
        <f>35540+(364+182)</f>
        <v>36086</v>
      </c>
      <c r="H611" s="53" t="str">
        <f>CHOOSE(MONTH(G611),"Jan","Feb","Mar","Apr","May","Jun","Jul","Aug","Sep","Oct","Nov","Dec")</f>
        <v>Oct</v>
      </c>
      <c r="I611" s="54">
        <f ca="1">DATEDIF(G611,TODAY(),"Y")</f>
        <v>18</v>
      </c>
      <c r="J611" s="55"/>
      <c r="K611" s="56">
        <v>47520</v>
      </c>
      <c r="L611" s="57">
        <v>1</v>
      </c>
      <c r="M611" s="62">
        <f>ROUND(K611*P609+K611,0)</f>
        <v>47520</v>
      </c>
      <c r="N611" s="103"/>
      <c r="O611" s="48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</row>
    <row r="612" spans="1:34" s="87" customFormat="1" x14ac:dyDescent="0.25">
      <c r="A612" s="42" t="s">
        <v>348</v>
      </c>
      <c r="B612" s="49" t="s">
        <v>245</v>
      </c>
      <c r="C612" s="42" t="s">
        <v>312</v>
      </c>
      <c r="D612" s="105">
        <v>474999228</v>
      </c>
      <c r="E612" s="105">
        <v>9193848677</v>
      </c>
      <c r="F612" s="42" t="s">
        <v>247</v>
      </c>
      <c r="G612" s="84">
        <f>35541+(364+182)</f>
        <v>36087</v>
      </c>
      <c r="H612" s="53" t="str">
        <f>CHOOSE(MONTH(G612),"Jan","Feb","Mar","Apr","May","Jun","Jul","Aug","Sep","Oct","Nov","Dec")</f>
        <v>Oct</v>
      </c>
      <c r="I612" s="54">
        <f ca="1">DATEDIF(G612,TODAY(),"Y")</f>
        <v>18</v>
      </c>
      <c r="J612" s="55"/>
      <c r="K612" s="56">
        <v>76930</v>
      </c>
      <c r="L612" s="57">
        <v>1</v>
      </c>
      <c r="M612" s="62">
        <f>ROUND(K612*P610+K612,0)</f>
        <v>76930</v>
      </c>
      <c r="N612" s="103"/>
      <c r="O612" s="48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</row>
    <row r="613" spans="1:34" s="87" customFormat="1" x14ac:dyDescent="0.25">
      <c r="A613" s="42" t="s">
        <v>826</v>
      </c>
      <c r="B613" s="49" t="s">
        <v>271</v>
      </c>
      <c r="C613" s="42" t="s">
        <v>767</v>
      </c>
      <c r="D613" s="105">
        <v>330879921</v>
      </c>
      <c r="E613" s="105">
        <v>9195691314</v>
      </c>
      <c r="F613" s="42" t="s">
        <v>256</v>
      </c>
      <c r="G613" s="84">
        <f>35542+(364+182)</f>
        <v>36088</v>
      </c>
      <c r="H613" s="53" t="str">
        <f>CHOOSE(MONTH(G613),"Jan","Feb","Mar","Apr","May","Jun","Jul","Aug","Sep","Oct","Nov","Dec")</f>
        <v>Oct</v>
      </c>
      <c r="I613" s="54">
        <f ca="1">DATEDIF(G613,TODAY(),"Y")</f>
        <v>18</v>
      </c>
      <c r="J613" s="55" t="s">
        <v>267</v>
      </c>
      <c r="K613" s="56">
        <v>54580</v>
      </c>
      <c r="L613" s="57">
        <v>4</v>
      </c>
      <c r="M613" s="62">
        <f>ROUND(K613*P611+K613,0)</f>
        <v>54580</v>
      </c>
      <c r="N613" s="103"/>
      <c r="O613" s="48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</row>
    <row r="614" spans="1:34" s="87" customFormat="1" x14ac:dyDescent="0.25">
      <c r="A614" s="42" t="s">
        <v>675</v>
      </c>
      <c r="B614" s="49" t="s">
        <v>285</v>
      </c>
      <c r="C614" s="42" t="s">
        <v>626</v>
      </c>
      <c r="D614" s="105">
        <v>294161481</v>
      </c>
      <c r="E614" s="105">
        <v>2521201242</v>
      </c>
      <c r="F614" s="42" t="s">
        <v>261</v>
      </c>
      <c r="G614" s="84">
        <f>35548+(364+182)</f>
        <v>36094</v>
      </c>
      <c r="H614" s="53" t="str">
        <f>CHOOSE(MONTH(G614),"Jan","Feb","Mar","Apr","May","Jun","Jul","Aug","Sep","Oct","Nov","Dec")</f>
        <v>Oct</v>
      </c>
      <c r="I614" s="54">
        <f ca="1">DATEDIF(G614,TODAY(),"Y")</f>
        <v>18</v>
      </c>
      <c r="J614" s="55" t="s">
        <v>257</v>
      </c>
      <c r="K614" s="56">
        <v>47885</v>
      </c>
      <c r="L614" s="57">
        <v>1</v>
      </c>
      <c r="M614" s="62">
        <f>ROUND(K614*P612+K614,0)</f>
        <v>47885</v>
      </c>
      <c r="N614" s="103"/>
      <c r="O614" s="48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</row>
    <row r="615" spans="1:34" s="87" customFormat="1" x14ac:dyDescent="0.25">
      <c r="A615" s="42" t="s">
        <v>553</v>
      </c>
      <c r="B615" s="49" t="s">
        <v>245</v>
      </c>
      <c r="C615" s="42" t="s">
        <v>465</v>
      </c>
      <c r="D615" s="105">
        <v>772163640</v>
      </c>
      <c r="E615" s="105">
        <v>9192474315</v>
      </c>
      <c r="F615" s="42" t="s">
        <v>256</v>
      </c>
      <c r="G615" s="84">
        <f>35898+(364+182)</f>
        <v>36444</v>
      </c>
      <c r="H615" s="53" t="str">
        <f>CHOOSE(MONTH(G615),"Jan","Feb","Mar","Apr","May","Jun","Jul","Aug","Sep","Oct","Nov","Dec")</f>
        <v>Oct</v>
      </c>
      <c r="I615" s="54">
        <f ca="1">DATEDIF(G615,TODAY(),"Y")</f>
        <v>17</v>
      </c>
      <c r="J615" s="55" t="s">
        <v>257</v>
      </c>
      <c r="K615" s="56">
        <v>67280</v>
      </c>
      <c r="L615" s="57">
        <v>3</v>
      </c>
      <c r="M615" s="62">
        <f>ROUND(K615*P613+K615,0)</f>
        <v>67280</v>
      </c>
      <c r="N615" s="103"/>
      <c r="O615" s="48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</row>
    <row r="616" spans="1:34" s="87" customFormat="1" x14ac:dyDescent="0.25">
      <c r="A616" s="42" t="s">
        <v>505</v>
      </c>
      <c r="B616" s="49" t="s">
        <v>271</v>
      </c>
      <c r="C616" s="42" t="s">
        <v>465</v>
      </c>
      <c r="D616" s="105">
        <v>384454025</v>
      </c>
      <c r="E616" s="105">
        <v>2522064219</v>
      </c>
      <c r="F616" s="42" t="s">
        <v>247</v>
      </c>
      <c r="G616" s="84">
        <f>35909+(364+182)</f>
        <v>36455</v>
      </c>
      <c r="H616" s="53" t="str">
        <f>CHOOSE(MONTH(G616),"Jan","Feb","Mar","Apr","May","Jun","Jul","Aug","Sep","Oct","Nov","Dec")</f>
        <v>Oct</v>
      </c>
      <c r="I616" s="54">
        <f ca="1">DATEDIF(G616,TODAY(),"Y")</f>
        <v>17</v>
      </c>
      <c r="J616" s="55"/>
      <c r="K616" s="56">
        <v>23810</v>
      </c>
      <c r="L616" s="57">
        <v>4</v>
      </c>
      <c r="M616" s="62">
        <f>ROUND(K616*P614+K616,0)</f>
        <v>23810</v>
      </c>
      <c r="N616" s="103"/>
      <c r="O616" s="48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</row>
    <row r="617" spans="1:34" s="87" customFormat="1" x14ac:dyDescent="0.25">
      <c r="A617" s="42" t="s">
        <v>633</v>
      </c>
      <c r="B617" s="49" t="s">
        <v>271</v>
      </c>
      <c r="C617" s="42" t="s">
        <v>626</v>
      </c>
      <c r="D617" s="105">
        <v>796685092</v>
      </c>
      <c r="E617" s="105">
        <v>2527469217</v>
      </c>
      <c r="F617" s="42" t="s">
        <v>256</v>
      </c>
      <c r="G617" s="84">
        <f>35910+(364+182)</f>
        <v>36456</v>
      </c>
      <c r="H617" s="53" t="str">
        <f>CHOOSE(MONTH(G617),"Jan","Feb","Mar","Apr","May","Jun","Jul","Aug","Sep","Oct","Nov","Dec")</f>
        <v>Oct</v>
      </c>
      <c r="I617" s="54">
        <f ca="1">DATEDIF(G617,TODAY(),"Y")</f>
        <v>17</v>
      </c>
      <c r="J617" s="55" t="s">
        <v>283</v>
      </c>
      <c r="K617" s="56">
        <v>43460</v>
      </c>
      <c r="L617" s="57">
        <v>5</v>
      </c>
      <c r="M617" s="62">
        <f>ROUND(K617*P615+K617,0)</f>
        <v>43460</v>
      </c>
      <c r="N617" s="103"/>
      <c r="O617" s="48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</row>
    <row r="618" spans="1:34" s="87" customFormat="1" x14ac:dyDescent="0.25">
      <c r="A618" s="42" t="s">
        <v>979</v>
      </c>
      <c r="B618" s="49" t="s">
        <v>266</v>
      </c>
      <c r="C618" s="42" t="s">
        <v>930</v>
      </c>
      <c r="D618" s="105">
        <v>120224342</v>
      </c>
      <c r="E618" s="105">
        <v>9198986390</v>
      </c>
      <c r="F618" s="42" t="s">
        <v>252</v>
      </c>
      <c r="G618" s="84">
        <f>35912+(364+182)</f>
        <v>36458</v>
      </c>
      <c r="H618" s="53" t="str">
        <f>CHOOSE(MONTH(G618),"Jan","Feb","Mar","Apr","May","Jun","Jul","Aug","Sep","Oct","Nov","Dec")</f>
        <v>Oct</v>
      </c>
      <c r="I618" s="54">
        <f ca="1">DATEDIF(G618,TODAY(),"Y")</f>
        <v>17</v>
      </c>
      <c r="J618" s="55"/>
      <c r="K618" s="56">
        <v>32536</v>
      </c>
      <c r="L618" s="57">
        <v>2</v>
      </c>
      <c r="M618" s="62">
        <f>ROUND(K618*P616+K618,0)</f>
        <v>32536</v>
      </c>
      <c r="N618" s="103"/>
      <c r="O618" s="48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</row>
    <row r="619" spans="1:34" s="87" customFormat="1" x14ac:dyDescent="0.25">
      <c r="A619" s="42" t="s">
        <v>956</v>
      </c>
      <c r="B619" s="49" t="s">
        <v>285</v>
      </c>
      <c r="C619" s="42" t="s">
        <v>930</v>
      </c>
      <c r="D619" s="105">
        <v>546546374</v>
      </c>
      <c r="E619" s="105">
        <v>9192727944</v>
      </c>
      <c r="F619" s="42" t="s">
        <v>261</v>
      </c>
      <c r="G619" s="84">
        <f>35916+(364+182)</f>
        <v>36462</v>
      </c>
      <c r="H619" s="53" t="str">
        <f>CHOOSE(MONTH(G619),"Jan","Feb","Mar","Apr","May","Jun","Jul","Aug","Sep","Oct","Nov","Dec")</f>
        <v>Oct</v>
      </c>
      <c r="I619" s="54">
        <f ca="1">DATEDIF(G619,TODAY(),"Y")</f>
        <v>17</v>
      </c>
      <c r="J619" s="55" t="s">
        <v>283</v>
      </c>
      <c r="K619" s="56">
        <v>26185</v>
      </c>
      <c r="L619" s="57">
        <v>5</v>
      </c>
      <c r="M619" s="62">
        <f>ROUND(K619*P617+K619,0)</f>
        <v>26185</v>
      </c>
      <c r="N619" s="103"/>
      <c r="O619" s="48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</row>
    <row r="620" spans="1:34" s="87" customFormat="1" x14ac:dyDescent="0.25">
      <c r="A620" s="42" t="s">
        <v>630</v>
      </c>
      <c r="B620" s="49" t="s">
        <v>285</v>
      </c>
      <c r="C620" s="42" t="s">
        <v>626</v>
      </c>
      <c r="D620" s="105">
        <v>424800509</v>
      </c>
      <c r="E620" s="105">
        <v>2523986051</v>
      </c>
      <c r="F620" s="42" t="s">
        <v>256</v>
      </c>
      <c r="G620" s="84">
        <f>35917+(364+182)</f>
        <v>36463</v>
      </c>
      <c r="H620" s="53" t="str">
        <f>CHOOSE(MONTH(G620),"Jan","Feb","Mar","Apr","May","Jun","Jul","Aug","Sep","Oct","Nov","Dec")</f>
        <v>Oct</v>
      </c>
      <c r="I620" s="54">
        <f ca="1">DATEDIF(G620,TODAY(),"Y")</f>
        <v>17</v>
      </c>
      <c r="J620" s="55" t="s">
        <v>257</v>
      </c>
      <c r="K620" s="56">
        <v>44220</v>
      </c>
      <c r="L620" s="57">
        <v>3</v>
      </c>
      <c r="M620" s="62">
        <f>ROUND(K620*P618+K620,0)</f>
        <v>44220</v>
      </c>
      <c r="N620" s="103"/>
      <c r="O620" s="48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</row>
    <row r="621" spans="1:34" s="87" customFormat="1" x14ac:dyDescent="0.25">
      <c r="A621" s="42" t="s">
        <v>676</v>
      </c>
      <c r="B621" s="49" t="s">
        <v>271</v>
      </c>
      <c r="C621" s="42" t="s">
        <v>626</v>
      </c>
      <c r="D621" s="105">
        <v>393290045</v>
      </c>
      <c r="E621" s="105">
        <v>2525268508</v>
      </c>
      <c r="F621" s="42" t="s">
        <v>261</v>
      </c>
      <c r="G621" s="84">
        <f>36620+(364+182)</f>
        <v>37166</v>
      </c>
      <c r="H621" s="53" t="str">
        <f>CHOOSE(MONTH(G621),"Jan","Feb","Mar","Apr","May","Jun","Jul","Aug","Sep","Oct","Nov","Dec")</f>
        <v>Oct</v>
      </c>
      <c r="I621" s="54">
        <f ca="1">DATEDIF(G621,TODAY(),"Y")</f>
        <v>15</v>
      </c>
      <c r="J621" s="55" t="s">
        <v>262</v>
      </c>
      <c r="K621" s="56">
        <v>47295</v>
      </c>
      <c r="L621" s="57">
        <v>4</v>
      </c>
      <c r="M621" s="62">
        <f>ROUND(K621*P619+K621,0)</f>
        <v>47295</v>
      </c>
      <c r="N621" s="103"/>
      <c r="O621" s="48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</row>
    <row r="622" spans="1:34" s="87" customFormat="1" x14ac:dyDescent="0.25">
      <c r="A622" s="42" t="s">
        <v>322</v>
      </c>
      <c r="B622" s="49" t="s">
        <v>271</v>
      </c>
      <c r="C622" s="42" t="s">
        <v>312</v>
      </c>
      <c r="D622" s="105">
        <v>436693732</v>
      </c>
      <c r="E622" s="105">
        <v>2524077699</v>
      </c>
      <c r="F622" s="42" t="s">
        <v>256</v>
      </c>
      <c r="G622" s="84">
        <f>36630+(364+182)</f>
        <v>37176</v>
      </c>
      <c r="H622" s="53" t="str">
        <f>CHOOSE(MONTH(G622),"Jan","Feb","Mar","Apr","May","Jun","Jul","Aug","Sep","Oct","Nov","Dec")</f>
        <v>Oct</v>
      </c>
      <c r="I622" s="54">
        <f ca="1">DATEDIF(G622,TODAY(),"Y")</f>
        <v>15</v>
      </c>
      <c r="J622" s="55" t="s">
        <v>267</v>
      </c>
      <c r="K622" s="56">
        <v>62790</v>
      </c>
      <c r="L622" s="57">
        <v>2</v>
      </c>
      <c r="M622" s="62">
        <f>ROUND(K622*P620+K622,0)</f>
        <v>62790</v>
      </c>
      <c r="N622" s="103"/>
      <c r="O622" s="48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</row>
    <row r="623" spans="1:34" s="87" customFormat="1" x14ac:dyDescent="0.25">
      <c r="A623" s="42" t="s">
        <v>502</v>
      </c>
      <c r="B623" s="49" t="s">
        <v>266</v>
      </c>
      <c r="C623" s="42" t="s">
        <v>465</v>
      </c>
      <c r="D623" s="105">
        <v>378189642</v>
      </c>
      <c r="E623" s="105">
        <v>2526228199</v>
      </c>
      <c r="F623" s="42" t="s">
        <v>247</v>
      </c>
      <c r="G623" s="84">
        <f>37353+(364+182)</f>
        <v>37899</v>
      </c>
      <c r="H623" s="53" t="str">
        <f>CHOOSE(MONTH(G623),"Jan","Feb","Mar","Apr","May","Jun","Jul","Aug","Sep","Oct","Nov","Dec")</f>
        <v>Oct</v>
      </c>
      <c r="I623" s="54">
        <f ca="1">DATEDIF(G623,TODAY(),"Y")</f>
        <v>13</v>
      </c>
      <c r="J623" s="55"/>
      <c r="K623" s="56">
        <v>64220</v>
      </c>
      <c r="L623" s="57">
        <v>5</v>
      </c>
      <c r="M623" s="62">
        <f>ROUND(K623*P621+K623,0)</f>
        <v>64220</v>
      </c>
      <c r="N623" s="103"/>
      <c r="O623" s="48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</row>
    <row r="624" spans="1:34" s="87" customFormat="1" x14ac:dyDescent="0.25">
      <c r="A624" s="42" t="s">
        <v>544</v>
      </c>
      <c r="B624" s="49" t="s">
        <v>245</v>
      </c>
      <c r="C624" s="42" t="s">
        <v>465</v>
      </c>
      <c r="D624" s="105">
        <v>361925033</v>
      </c>
      <c r="E624" s="105">
        <v>9196633751</v>
      </c>
      <c r="F624" s="42" t="s">
        <v>247</v>
      </c>
      <c r="G624" s="84">
        <f>37743+(364+182)</f>
        <v>38289</v>
      </c>
      <c r="H624" s="53" t="str">
        <f>CHOOSE(MONTH(G624),"Jan","Feb","Mar","Apr","May","Jun","Jul","Aug","Sep","Oct","Nov","Dec")</f>
        <v>Oct</v>
      </c>
      <c r="I624" s="54">
        <f ca="1">DATEDIF(G624,TODAY(),"Y")</f>
        <v>12</v>
      </c>
      <c r="J624" s="55"/>
      <c r="K624" s="56">
        <v>71830</v>
      </c>
      <c r="L624" s="57">
        <v>3</v>
      </c>
      <c r="M624" s="62">
        <f>ROUND(K624*P622+K624,0)</f>
        <v>71830</v>
      </c>
      <c r="N624" s="103"/>
      <c r="O624" s="48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</row>
    <row r="625" spans="1:34" s="87" customFormat="1" x14ac:dyDescent="0.25">
      <c r="A625" s="42" t="s">
        <v>959</v>
      </c>
      <c r="B625" s="49" t="s">
        <v>251</v>
      </c>
      <c r="C625" s="42" t="s">
        <v>930</v>
      </c>
      <c r="D625" s="105">
        <v>688769770</v>
      </c>
      <c r="E625" s="105">
        <v>9192416398</v>
      </c>
      <c r="F625" s="42" t="s">
        <v>256</v>
      </c>
      <c r="G625" s="84">
        <f>38080+(364+182)</f>
        <v>38626</v>
      </c>
      <c r="H625" s="53" t="str">
        <f>CHOOSE(MONTH(G625),"Jan","Feb","Mar","Apr","May","Jun","Jul","Aug","Sep","Oct","Nov","Dec")</f>
        <v>Oct</v>
      </c>
      <c r="I625" s="54">
        <f ca="1">DATEDIF(G625,TODAY(),"Y")</f>
        <v>11</v>
      </c>
      <c r="J625" s="55" t="s">
        <v>257</v>
      </c>
      <c r="K625" s="56">
        <v>44530</v>
      </c>
      <c r="L625" s="57">
        <v>2</v>
      </c>
      <c r="M625" s="62">
        <f>ROUND(K625*P623+K625,0)</f>
        <v>44530</v>
      </c>
      <c r="N625" s="103"/>
      <c r="O625" s="48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</row>
    <row r="626" spans="1:34" x14ac:dyDescent="0.25">
      <c r="A626" s="42" t="s">
        <v>1011</v>
      </c>
      <c r="B626" s="49" t="s">
        <v>245</v>
      </c>
      <c r="C626" s="42" t="s">
        <v>930</v>
      </c>
      <c r="D626" s="105">
        <v>502580266</v>
      </c>
      <c r="E626" s="105">
        <v>9197103200</v>
      </c>
      <c r="F626" s="42" t="s">
        <v>252</v>
      </c>
      <c r="G626" s="84">
        <f>38100+(364+182)</f>
        <v>38646</v>
      </c>
      <c r="H626" s="53" t="str">
        <f>CHOOSE(MONTH(G626),"Jan","Feb","Mar","Apr","May","Jun","Jul","Aug","Sep","Oct","Nov","Dec")</f>
        <v>Oct</v>
      </c>
      <c r="I626" s="54">
        <f ca="1">DATEDIF(G626,TODAY(),"Y")</f>
        <v>11</v>
      </c>
      <c r="J626" s="55"/>
      <c r="K626" s="56">
        <v>37344</v>
      </c>
      <c r="L626" s="57">
        <v>2</v>
      </c>
      <c r="M626" s="62">
        <f>ROUND(K626*P624+K626,0)</f>
        <v>37344</v>
      </c>
    </row>
    <row r="627" spans="1:34" x14ac:dyDescent="0.25">
      <c r="A627" s="42" t="s">
        <v>836</v>
      </c>
      <c r="B627" s="49" t="s">
        <v>285</v>
      </c>
      <c r="C627" s="42" t="s">
        <v>767</v>
      </c>
      <c r="D627" s="105">
        <v>161439267</v>
      </c>
      <c r="E627" s="105">
        <v>9197600603</v>
      </c>
      <c r="F627" s="42" t="s">
        <v>256</v>
      </c>
      <c r="G627" s="84">
        <f>38816+(364+182)</f>
        <v>39362</v>
      </c>
      <c r="H627" s="53" t="str">
        <f>CHOOSE(MONTH(G627),"Jan","Feb","Mar","Apr","May","Jun","Jul","Aug","Sep","Oct","Nov","Dec")</f>
        <v>Oct</v>
      </c>
      <c r="I627" s="54">
        <f ca="1">DATEDIF(G627,TODAY(),"Y")</f>
        <v>9</v>
      </c>
      <c r="J627" s="55" t="s">
        <v>262</v>
      </c>
      <c r="K627" s="56">
        <v>42020</v>
      </c>
      <c r="L627" s="57">
        <v>5</v>
      </c>
      <c r="M627" s="62">
        <f>ROUND(K627*P625+K627,0)</f>
        <v>42020</v>
      </c>
    </row>
    <row r="628" spans="1:34" x14ac:dyDescent="0.25">
      <c r="A628" s="42" t="s">
        <v>841</v>
      </c>
      <c r="B628" s="49" t="s">
        <v>280</v>
      </c>
      <c r="C628" s="42" t="s">
        <v>767</v>
      </c>
      <c r="D628" s="105">
        <v>486016972</v>
      </c>
      <c r="E628" s="105">
        <v>9194532398</v>
      </c>
      <c r="F628" s="42" t="s">
        <v>261</v>
      </c>
      <c r="G628" s="84">
        <f>39182+(364+182)</f>
        <v>39728</v>
      </c>
      <c r="H628" s="53" t="str">
        <f>CHOOSE(MONTH(G628),"Jan","Feb","Mar","Apr","May","Jun","Jul","Aug","Sep","Oct","Nov","Dec")</f>
        <v>Oct</v>
      </c>
      <c r="I628" s="54">
        <f ca="1">DATEDIF(G628,TODAY(),"Y")</f>
        <v>8</v>
      </c>
      <c r="J628" s="55" t="s">
        <v>257</v>
      </c>
      <c r="K628" s="56">
        <v>45565</v>
      </c>
      <c r="L628" s="57">
        <v>1</v>
      </c>
      <c r="M628" s="62">
        <f>ROUND(K628*P626+K628,0)</f>
        <v>45565</v>
      </c>
    </row>
    <row r="629" spans="1:34" x14ac:dyDescent="0.25">
      <c r="A629" s="42" t="s">
        <v>984</v>
      </c>
      <c r="B629" s="49" t="s">
        <v>285</v>
      </c>
      <c r="C629" s="42" t="s">
        <v>930</v>
      </c>
      <c r="D629" s="105">
        <v>458734969</v>
      </c>
      <c r="E629" s="105">
        <v>9196354278</v>
      </c>
      <c r="F629" s="42" t="s">
        <v>256</v>
      </c>
      <c r="G629" s="84">
        <f>39182+(364+182)</f>
        <v>39728</v>
      </c>
      <c r="H629" s="53" t="str">
        <f>CHOOSE(MONTH(G629),"Jan","Feb","Mar","Apr","May","Jun","Jul","Aug","Sep","Oct","Nov","Dec")</f>
        <v>Oct</v>
      </c>
      <c r="I629" s="54">
        <f ca="1">DATEDIF(G629,TODAY(),"Y")</f>
        <v>8</v>
      </c>
      <c r="J629" s="55" t="s">
        <v>257</v>
      </c>
      <c r="K629" s="56">
        <v>82370</v>
      </c>
      <c r="L629" s="57">
        <v>5</v>
      </c>
      <c r="M629" s="62">
        <f>ROUND(K629*P627+K629,0)</f>
        <v>82370</v>
      </c>
    </row>
    <row r="630" spans="1:34" x14ac:dyDescent="0.25">
      <c r="A630" s="42" t="s">
        <v>985</v>
      </c>
      <c r="B630" s="49" t="s">
        <v>245</v>
      </c>
      <c r="C630" s="42" t="s">
        <v>930</v>
      </c>
      <c r="D630" s="105">
        <v>667745362</v>
      </c>
      <c r="E630" s="105">
        <v>2522952173</v>
      </c>
      <c r="F630" s="42" t="s">
        <v>247</v>
      </c>
      <c r="G630" s="84">
        <f>39182+(364+182)</f>
        <v>39728</v>
      </c>
      <c r="H630" s="53" t="str">
        <f>CHOOSE(MONTH(G630),"Jan","Feb","Mar","Apr","May","Jun","Jul","Aug","Sep","Oct","Nov","Dec")</f>
        <v>Oct</v>
      </c>
      <c r="I630" s="54">
        <f ca="1">DATEDIF(G630,TODAY(),"Y")</f>
        <v>8</v>
      </c>
      <c r="J630" s="55"/>
      <c r="K630" s="56">
        <v>86040</v>
      </c>
      <c r="L630" s="57">
        <v>5</v>
      </c>
      <c r="M630" s="62">
        <f>ROUND(K630*P628+K630,0)</f>
        <v>86040</v>
      </c>
    </row>
    <row r="631" spans="1:34" x14ac:dyDescent="0.25">
      <c r="A631" s="42" t="s">
        <v>872</v>
      </c>
      <c r="B631" s="49" t="s">
        <v>285</v>
      </c>
      <c r="C631" s="42" t="s">
        <v>856</v>
      </c>
      <c r="D631" s="105">
        <v>826508763</v>
      </c>
      <c r="E631" s="105">
        <v>2526801348</v>
      </c>
      <c r="F631" s="42" t="s">
        <v>256</v>
      </c>
      <c r="G631" s="84">
        <f>39199+(364+182)</f>
        <v>39745</v>
      </c>
      <c r="H631" s="53" t="str">
        <f>CHOOSE(MONTH(G631),"Jan","Feb","Mar","Apr","May","Jun","Jul","Aug","Sep","Oct","Nov","Dec")</f>
        <v>Oct</v>
      </c>
      <c r="I631" s="54">
        <f ca="1">DATEDIF(G631,TODAY(),"Y")</f>
        <v>8</v>
      </c>
      <c r="J631" s="55" t="s">
        <v>283</v>
      </c>
      <c r="K631" s="56">
        <v>29330</v>
      </c>
      <c r="L631" s="57">
        <v>5</v>
      </c>
      <c r="M631" s="62">
        <f>ROUND(K631*P629+K631,0)</f>
        <v>29330</v>
      </c>
    </row>
    <row r="632" spans="1:34" x14ac:dyDescent="0.25">
      <c r="A632" s="42" t="s">
        <v>526</v>
      </c>
      <c r="B632" s="49" t="s">
        <v>266</v>
      </c>
      <c r="C632" s="42" t="s">
        <v>465</v>
      </c>
      <c r="D632" s="105">
        <v>484217278</v>
      </c>
      <c r="E632" s="105">
        <v>9195627374</v>
      </c>
      <c r="F632" s="42" t="s">
        <v>252</v>
      </c>
      <c r="G632" s="84">
        <f>39201+(364+182)</f>
        <v>39747</v>
      </c>
      <c r="H632" s="53" t="str">
        <f>CHOOSE(MONTH(G632),"Jan","Feb","Mar","Apr","May","Jun","Jul","Aug","Sep","Oct","Nov","Dec")</f>
        <v>Oct</v>
      </c>
      <c r="I632" s="54">
        <f ca="1">DATEDIF(G632,TODAY(),"Y")</f>
        <v>8</v>
      </c>
      <c r="J632" s="55"/>
      <c r="K632" s="56">
        <v>10572</v>
      </c>
      <c r="L632" s="57">
        <v>4</v>
      </c>
      <c r="M632" s="62">
        <f>ROUND(K632*P630+K632,0)</f>
        <v>10572</v>
      </c>
    </row>
    <row r="633" spans="1:34" x14ac:dyDescent="0.25">
      <c r="A633" s="42" t="s">
        <v>295</v>
      </c>
      <c r="B633" s="49" t="s">
        <v>245</v>
      </c>
      <c r="C633" s="42" t="s">
        <v>296</v>
      </c>
      <c r="D633" s="105">
        <v>460412180</v>
      </c>
      <c r="E633" s="105">
        <v>9196822349</v>
      </c>
      <c r="F633" s="42" t="s">
        <v>256</v>
      </c>
      <c r="G633" s="84">
        <f>39560+(364+182)</f>
        <v>40106</v>
      </c>
      <c r="H633" s="53" t="str">
        <f>CHOOSE(MONTH(G633),"Jan","Feb","Mar","Apr","May","Jun","Jul","Aug","Sep","Oct","Nov","Dec")</f>
        <v>Oct</v>
      </c>
      <c r="I633" s="54">
        <f ca="1">DATEDIF(G633,TODAY(),"Y")</f>
        <v>7</v>
      </c>
      <c r="J633" s="55" t="s">
        <v>262</v>
      </c>
      <c r="K633" s="56">
        <v>51180</v>
      </c>
      <c r="L633" s="57">
        <v>3</v>
      </c>
      <c r="M633" s="62">
        <f>ROUND(K633*P631+K633,0)</f>
        <v>51180</v>
      </c>
      <c r="N633" s="110"/>
    </row>
    <row r="634" spans="1:34" x14ac:dyDescent="0.25">
      <c r="A634" s="42" t="s">
        <v>724</v>
      </c>
      <c r="B634" s="49" t="s">
        <v>271</v>
      </c>
      <c r="C634" s="42" t="s">
        <v>705</v>
      </c>
      <c r="D634" s="105">
        <v>816607187</v>
      </c>
      <c r="E634" s="105">
        <v>9195520461</v>
      </c>
      <c r="F634" s="42" t="s">
        <v>252</v>
      </c>
      <c r="G634" s="106">
        <f>39906+(364+182)</f>
        <v>40452</v>
      </c>
      <c r="H634" s="53" t="str">
        <f>CHOOSE(MONTH(G634),"Jan","Feb","Mar","Apr","May","Jun","Jul","Aug","Sep","Oct","Nov","Dec")</f>
        <v>Oct</v>
      </c>
      <c r="I634" s="54">
        <f ca="1">DATEDIF(G634,TODAY(),"Y")</f>
        <v>6</v>
      </c>
      <c r="J634" s="55"/>
      <c r="K634" s="56">
        <v>9180</v>
      </c>
      <c r="L634" s="57">
        <v>3</v>
      </c>
      <c r="M634" s="62">
        <f>ROUND(K634*P632+K634,0)</f>
        <v>9180</v>
      </c>
    </row>
    <row r="635" spans="1:34" x14ac:dyDescent="0.25">
      <c r="A635" s="42" t="s">
        <v>745</v>
      </c>
      <c r="B635" s="49" t="s">
        <v>251</v>
      </c>
      <c r="C635" s="42" t="s">
        <v>705</v>
      </c>
      <c r="D635" s="105">
        <v>719165738</v>
      </c>
      <c r="E635" s="105">
        <v>9195750692</v>
      </c>
      <c r="F635" s="42" t="s">
        <v>247</v>
      </c>
      <c r="G635" s="84">
        <f>39922+(364+182)</f>
        <v>40468</v>
      </c>
      <c r="H635" s="53" t="str">
        <f>CHOOSE(MONTH(G635),"Jan","Feb","Mar","Apr","May","Jun","Jul","Aug","Sep","Oct","Nov","Dec")</f>
        <v>Oct</v>
      </c>
      <c r="I635" s="54">
        <f ca="1">DATEDIF(G635,TODAY(),"Y")</f>
        <v>6</v>
      </c>
      <c r="J635" s="55"/>
      <c r="K635" s="56">
        <v>39440</v>
      </c>
      <c r="L635" s="57">
        <v>4</v>
      </c>
      <c r="M635" s="62">
        <f>ROUND(K635*P633+K635,0)</f>
        <v>39440</v>
      </c>
    </row>
    <row r="636" spans="1:34" x14ac:dyDescent="0.25">
      <c r="A636" s="42" t="s">
        <v>443</v>
      </c>
      <c r="B636" s="49" t="s">
        <v>285</v>
      </c>
      <c r="C636" s="42" t="s">
        <v>417</v>
      </c>
      <c r="D636" s="105">
        <v>536516131</v>
      </c>
      <c r="E636" s="105">
        <v>2524442207</v>
      </c>
      <c r="F636" s="42" t="s">
        <v>256</v>
      </c>
      <c r="G636" s="84">
        <f>39924+(364+182)</f>
        <v>40470</v>
      </c>
      <c r="H636" s="53" t="str">
        <f>CHOOSE(MONTH(G636),"Jan","Feb","Mar","Apr","May","Jun","Jul","Aug","Sep","Oct","Nov","Dec")</f>
        <v>Oct</v>
      </c>
      <c r="I636" s="54">
        <f ca="1">DATEDIF(G636,TODAY(),"Y")</f>
        <v>6</v>
      </c>
      <c r="J636" s="55" t="s">
        <v>283</v>
      </c>
      <c r="K636" s="56">
        <v>42620</v>
      </c>
      <c r="L636" s="57">
        <v>3</v>
      </c>
      <c r="M636" s="62">
        <f>ROUND(K636*P634+K636,0)</f>
        <v>42620</v>
      </c>
    </row>
    <row r="637" spans="1:34" x14ac:dyDescent="0.25">
      <c r="A637" s="42" t="s">
        <v>563</v>
      </c>
      <c r="B637" s="49" t="s">
        <v>271</v>
      </c>
      <c r="C637" s="42" t="s">
        <v>465</v>
      </c>
      <c r="D637" s="105">
        <v>995858336</v>
      </c>
      <c r="E637" s="105">
        <v>2525035104</v>
      </c>
      <c r="F637" s="42" t="s">
        <v>247</v>
      </c>
      <c r="G637" s="84">
        <f>39924+(364+182)</f>
        <v>40470</v>
      </c>
      <c r="H637" s="53" t="str">
        <f>CHOOSE(MONTH(G637),"Jan","Feb","Mar","Apr","May","Jun","Jul","Aug","Sep","Oct","Nov","Dec")</f>
        <v>Oct</v>
      </c>
      <c r="I637" s="54">
        <f ca="1">DATEDIF(G637,TODAY(),"Y")</f>
        <v>6</v>
      </c>
      <c r="J637" s="55"/>
      <c r="K637" s="56">
        <v>37840</v>
      </c>
      <c r="L637" s="57">
        <v>1</v>
      </c>
      <c r="M637" s="62">
        <f>ROUND(K637*P635+K637,0)</f>
        <v>37840</v>
      </c>
    </row>
    <row r="638" spans="1:34" x14ac:dyDescent="0.25">
      <c r="A638" s="42" t="s">
        <v>769</v>
      </c>
      <c r="B638" s="49" t="s">
        <v>285</v>
      </c>
      <c r="C638" s="42" t="s">
        <v>767</v>
      </c>
      <c r="D638" s="105">
        <v>449987941</v>
      </c>
      <c r="E638" s="105">
        <v>2528742282</v>
      </c>
      <c r="F638" s="42" t="s">
        <v>256</v>
      </c>
      <c r="G638" s="84">
        <f>39931+(364+182)</f>
        <v>40477</v>
      </c>
      <c r="H638" s="53" t="str">
        <f>CHOOSE(MONTH(G638),"Jan","Feb","Mar","Apr","May","Jun","Jul","Aug","Sep","Oct","Nov","Dec")</f>
        <v>Oct</v>
      </c>
      <c r="I638" s="54">
        <f ca="1">DATEDIF(G638,TODAY(),"Y")</f>
        <v>6</v>
      </c>
      <c r="J638" s="55" t="s">
        <v>267</v>
      </c>
      <c r="K638" s="56">
        <v>63206</v>
      </c>
      <c r="L638" s="57">
        <v>1</v>
      </c>
      <c r="M638" s="62">
        <f>ROUND(K638*P636+K638,0)</f>
        <v>63206</v>
      </c>
    </row>
    <row r="639" spans="1:34" x14ac:dyDescent="0.25">
      <c r="A639" s="42" t="s">
        <v>760</v>
      </c>
      <c r="B639" s="49" t="s">
        <v>266</v>
      </c>
      <c r="C639" s="42" t="s">
        <v>750</v>
      </c>
      <c r="D639" s="105">
        <v>710460589</v>
      </c>
      <c r="E639" s="105">
        <v>2526104400</v>
      </c>
      <c r="F639" s="42" t="s">
        <v>256</v>
      </c>
      <c r="G639" s="84">
        <f>32633+(364+182)</f>
        <v>33179</v>
      </c>
      <c r="H639" s="53" t="str">
        <f>CHOOSE(MONTH(G639),"Jan","Feb","Mar","Apr","May","Jun","Jul","Aug","Sep","Oct","Nov","Dec")</f>
        <v>Nov</v>
      </c>
      <c r="I639" s="54">
        <f ca="1">DATEDIF(G639,TODAY(),"Y")</f>
        <v>26</v>
      </c>
      <c r="J639" s="55" t="s">
        <v>283</v>
      </c>
      <c r="K639" s="56">
        <v>43110</v>
      </c>
      <c r="L639" s="57">
        <v>2</v>
      </c>
      <c r="M639" s="62">
        <f>ROUND(K639*P637+K639,0)</f>
        <v>43110</v>
      </c>
    </row>
    <row r="640" spans="1:34" x14ac:dyDescent="0.25">
      <c r="A640" s="42" t="s">
        <v>403</v>
      </c>
      <c r="B640" s="49" t="s">
        <v>285</v>
      </c>
      <c r="C640" s="42" t="s">
        <v>391</v>
      </c>
      <c r="D640" s="105">
        <v>828996583</v>
      </c>
      <c r="E640" s="105">
        <v>2521282202</v>
      </c>
      <c r="F640" s="42" t="s">
        <v>252</v>
      </c>
      <c r="G640" s="84">
        <f>32637+(364+182)</f>
        <v>33183</v>
      </c>
      <c r="H640" s="53" t="str">
        <f>CHOOSE(MONTH(G640),"Jan","Feb","Mar","Apr","May","Jun","Jul","Aug","Sep","Oct","Nov","Dec")</f>
        <v>Nov</v>
      </c>
      <c r="I640" s="54">
        <f ca="1">DATEDIF(G640,TODAY(),"Y")</f>
        <v>26</v>
      </c>
      <c r="J640" s="55"/>
      <c r="K640" s="56">
        <v>14712</v>
      </c>
      <c r="L640" s="57">
        <v>5</v>
      </c>
      <c r="M640" s="62">
        <f>ROUND(K640*P638+K640,0)</f>
        <v>14712</v>
      </c>
    </row>
    <row r="641" spans="1:34" x14ac:dyDescent="0.25">
      <c r="A641" s="42" t="s">
        <v>755</v>
      </c>
      <c r="B641" s="49" t="s">
        <v>285</v>
      </c>
      <c r="C641" s="42" t="s">
        <v>750</v>
      </c>
      <c r="D641" s="105">
        <v>174483231</v>
      </c>
      <c r="E641" s="105">
        <v>9196733291</v>
      </c>
      <c r="F641" s="42" t="s">
        <v>256</v>
      </c>
      <c r="G641" s="84">
        <f>32640+(364+182)</f>
        <v>33186</v>
      </c>
      <c r="H641" s="53" t="str">
        <f>CHOOSE(MONTH(G641),"Jan","Feb","Mar","Apr","May","Jun","Jul","Aug","Sep","Oct","Nov","Dec")</f>
        <v>Nov</v>
      </c>
      <c r="I641" s="54">
        <f ca="1">DATEDIF(G641,TODAY(),"Y")</f>
        <v>26</v>
      </c>
      <c r="J641" s="55" t="s">
        <v>257</v>
      </c>
      <c r="K641" s="56">
        <v>40940</v>
      </c>
      <c r="L641" s="57">
        <v>3</v>
      </c>
      <c r="M641" s="62">
        <f>ROUND(K641*P639+K641,0)</f>
        <v>40940</v>
      </c>
    </row>
    <row r="642" spans="1:34" s="87" customFormat="1" x14ac:dyDescent="0.25">
      <c r="A642" s="42" t="s">
        <v>942</v>
      </c>
      <c r="B642" s="49" t="s">
        <v>271</v>
      </c>
      <c r="C642" s="42" t="s">
        <v>930</v>
      </c>
      <c r="D642" s="105">
        <v>918436287</v>
      </c>
      <c r="E642" s="105">
        <v>2528238755</v>
      </c>
      <c r="F642" s="42" t="s">
        <v>247</v>
      </c>
      <c r="G642" s="84">
        <f>32647+(364+182)</f>
        <v>33193</v>
      </c>
      <c r="H642" s="53" t="str">
        <f>CHOOSE(MONTH(G642),"Jan","Feb","Mar","Apr","May","Jun","Jul","Aug","Sep","Oct","Nov","Dec")</f>
        <v>Nov</v>
      </c>
      <c r="I642" s="54">
        <f ca="1">DATEDIF(G642,TODAY(),"Y")</f>
        <v>25</v>
      </c>
      <c r="J642" s="55"/>
      <c r="K642" s="56">
        <v>63610</v>
      </c>
      <c r="L642" s="57">
        <v>5</v>
      </c>
      <c r="M642" s="62">
        <f>ROUND(K642*P640+K642,0)</f>
        <v>63610</v>
      </c>
      <c r="N642" s="103"/>
      <c r="O642" s="48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</row>
    <row r="643" spans="1:34" s="87" customFormat="1" x14ac:dyDescent="0.25">
      <c r="A643" s="42" t="s">
        <v>904</v>
      </c>
      <c r="B643" s="49" t="s">
        <v>266</v>
      </c>
      <c r="C643" s="42" t="s">
        <v>856</v>
      </c>
      <c r="D643" s="105">
        <v>781472289</v>
      </c>
      <c r="E643" s="105">
        <v>2528502926</v>
      </c>
      <c r="F643" s="42" t="s">
        <v>256</v>
      </c>
      <c r="G643" s="84">
        <f>33002+(364+182)</f>
        <v>33548</v>
      </c>
      <c r="H643" s="53" t="str">
        <f>CHOOSE(MONTH(G643),"Jan","Feb","Mar","Apr","May","Jun","Jul","Aug","Sep","Oct","Nov","Dec")</f>
        <v>Nov</v>
      </c>
      <c r="I643" s="54">
        <f ca="1">DATEDIF(G643,TODAY(),"Y")</f>
        <v>25</v>
      </c>
      <c r="J643" s="55" t="s">
        <v>283</v>
      </c>
      <c r="K643" s="56">
        <v>63050</v>
      </c>
      <c r="L643" s="57">
        <v>3</v>
      </c>
      <c r="M643" s="62">
        <f>ROUND(K643*P641+K643,0)</f>
        <v>63050</v>
      </c>
      <c r="N643" s="103"/>
      <c r="O643" s="48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</row>
    <row r="644" spans="1:34" s="87" customFormat="1" x14ac:dyDescent="0.25">
      <c r="A644" s="42" t="s">
        <v>305</v>
      </c>
      <c r="B644" s="49" t="s">
        <v>245</v>
      </c>
      <c r="C644" s="42" t="s">
        <v>296</v>
      </c>
      <c r="D644" s="105">
        <v>963028490</v>
      </c>
      <c r="E644" s="105">
        <v>2524383168</v>
      </c>
      <c r="F644" s="42" t="s">
        <v>256</v>
      </c>
      <c r="G644" s="84">
        <f>33005+(364+182)</f>
        <v>33551</v>
      </c>
      <c r="H644" s="53" t="str">
        <f>CHOOSE(MONTH(G644),"Jan","Feb","Mar","Apr","May","Jun","Jul","Aug","Sep","Oct","Nov","Dec")</f>
        <v>Nov</v>
      </c>
      <c r="I644" s="54">
        <f ca="1">DATEDIF(G644,TODAY(),"Y")</f>
        <v>25</v>
      </c>
      <c r="J644" s="55" t="s">
        <v>262</v>
      </c>
      <c r="K644" s="56">
        <v>41350</v>
      </c>
      <c r="L644" s="57">
        <v>2</v>
      </c>
      <c r="M644" s="62">
        <f>ROUND(K644*P642+K644,0)</f>
        <v>41350</v>
      </c>
      <c r="N644" s="103"/>
      <c r="O644" s="48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</row>
    <row r="645" spans="1:34" s="87" customFormat="1" x14ac:dyDescent="0.25">
      <c r="A645" s="42" t="s">
        <v>968</v>
      </c>
      <c r="B645" s="49" t="s">
        <v>285</v>
      </c>
      <c r="C645" s="42" t="s">
        <v>930</v>
      </c>
      <c r="D645" s="105">
        <v>144722757</v>
      </c>
      <c r="E645" s="105">
        <v>9196060038</v>
      </c>
      <c r="F645" s="42" t="s">
        <v>247</v>
      </c>
      <c r="G645" s="84">
        <f>33016+(364+182)</f>
        <v>33562</v>
      </c>
      <c r="H645" s="53" t="str">
        <f>CHOOSE(MONTH(G645),"Jan","Feb","Mar","Apr","May","Jun","Jul","Aug","Sep","Oct","Nov","Dec")</f>
        <v>Nov</v>
      </c>
      <c r="I645" s="54">
        <f ca="1">DATEDIF(G645,TODAY(),"Y")</f>
        <v>24</v>
      </c>
      <c r="J645" s="55"/>
      <c r="K645" s="56">
        <v>57500</v>
      </c>
      <c r="L645" s="57">
        <v>1</v>
      </c>
      <c r="M645" s="62">
        <f>ROUND(K645*P643+K645,0)</f>
        <v>57500</v>
      </c>
      <c r="N645" s="103"/>
      <c r="O645" s="48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</row>
    <row r="646" spans="1:34" s="87" customFormat="1" x14ac:dyDescent="0.25">
      <c r="A646" s="42" t="s">
        <v>908</v>
      </c>
      <c r="B646" s="49" t="s">
        <v>285</v>
      </c>
      <c r="C646" s="42" t="s">
        <v>856</v>
      </c>
      <c r="D646" s="105">
        <v>195772503</v>
      </c>
      <c r="E646" s="105">
        <v>9193123940</v>
      </c>
      <c r="F646" s="42" t="s">
        <v>247</v>
      </c>
      <c r="G646" s="84">
        <f>33368+(364+182)</f>
        <v>33914</v>
      </c>
      <c r="H646" s="53" t="str">
        <f>CHOOSE(MONTH(G646),"Jan","Feb","Mar","Apr","May","Jun","Jul","Aug","Sep","Oct","Nov","Dec")</f>
        <v>Nov</v>
      </c>
      <c r="I646" s="54">
        <f ca="1">DATEDIF(G646,TODAY(),"Y")</f>
        <v>24</v>
      </c>
      <c r="J646" s="55"/>
      <c r="K646" s="56">
        <v>55690</v>
      </c>
      <c r="L646" s="57">
        <v>2</v>
      </c>
      <c r="M646" s="62">
        <f>ROUND(K646*P644+K646,0)</f>
        <v>55690</v>
      </c>
      <c r="N646" s="103"/>
      <c r="O646" s="48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</row>
    <row r="647" spans="1:34" s="87" customFormat="1" x14ac:dyDescent="0.25">
      <c r="A647" s="42" t="s">
        <v>1003</v>
      </c>
      <c r="B647" s="49" t="s">
        <v>266</v>
      </c>
      <c r="C647" s="42" t="s">
        <v>930</v>
      </c>
      <c r="D647" s="105">
        <v>616055292</v>
      </c>
      <c r="E647" s="105">
        <v>9192913490</v>
      </c>
      <c r="F647" s="42" t="s">
        <v>256</v>
      </c>
      <c r="G647" s="84">
        <f>33375+(364+182)</f>
        <v>33921</v>
      </c>
      <c r="H647" s="53" t="str">
        <f>CHOOSE(MONTH(G647),"Jan","Feb","Mar","Apr","May","Jun","Jul","Aug","Sep","Oct","Nov","Dec")</f>
        <v>Nov</v>
      </c>
      <c r="I647" s="54">
        <f ca="1">DATEDIF(G647,TODAY(),"Y")</f>
        <v>23</v>
      </c>
      <c r="J647" s="55" t="s">
        <v>267</v>
      </c>
      <c r="K647" s="56">
        <v>32160</v>
      </c>
      <c r="L647" s="57">
        <v>3</v>
      </c>
      <c r="M647" s="62">
        <f>ROUND(K647*P645+K647,0)</f>
        <v>32160</v>
      </c>
      <c r="N647" s="103"/>
      <c r="O647" s="48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</row>
    <row r="648" spans="1:34" s="87" customFormat="1" x14ac:dyDescent="0.25">
      <c r="A648" s="42" t="s">
        <v>434</v>
      </c>
      <c r="B648" s="49" t="s">
        <v>251</v>
      </c>
      <c r="C648" s="42" t="s">
        <v>417</v>
      </c>
      <c r="D648" s="105">
        <v>993867417</v>
      </c>
      <c r="E648" s="105">
        <v>2522338778</v>
      </c>
      <c r="F648" s="42" t="s">
        <v>256</v>
      </c>
      <c r="G648" s="84">
        <f>33377+(364+182)</f>
        <v>33923</v>
      </c>
      <c r="H648" s="53" t="str">
        <f>CHOOSE(MONTH(G648),"Jan","Feb","Mar","Apr","May","Jun","Jul","Aug","Sep","Oct","Nov","Dec")</f>
        <v>Nov</v>
      </c>
      <c r="I648" s="54">
        <f ca="1">DATEDIF(G648,TODAY(),"Y")</f>
        <v>23</v>
      </c>
      <c r="J648" s="55" t="s">
        <v>283</v>
      </c>
      <c r="K648" s="56">
        <v>46340</v>
      </c>
      <c r="L648" s="57">
        <v>5</v>
      </c>
      <c r="M648" s="62">
        <f>ROUND(K648*P646+K648,0)</f>
        <v>46340</v>
      </c>
      <c r="N648" s="103"/>
      <c r="O648" s="48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</row>
    <row r="649" spans="1:34" s="87" customFormat="1" x14ac:dyDescent="0.25">
      <c r="A649" s="42" t="s">
        <v>744</v>
      </c>
      <c r="B649" s="49" t="s">
        <v>285</v>
      </c>
      <c r="C649" s="42" t="s">
        <v>705</v>
      </c>
      <c r="D649" s="105">
        <v>881242432</v>
      </c>
      <c r="E649" s="105">
        <v>9193957018</v>
      </c>
      <c r="F649" s="42" t="s">
        <v>256</v>
      </c>
      <c r="G649" s="84">
        <f>33382+(364+182)</f>
        <v>33928</v>
      </c>
      <c r="H649" s="53" t="str">
        <f>CHOOSE(MONTH(G649),"Jan","Feb","Mar","Apr","May","Jun","Jul","Aug","Sep","Oct","Nov","Dec")</f>
        <v>Nov</v>
      </c>
      <c r="I649" s="54">
        <f ca="1">DATEDIF(G649,TODAY(),"Y")</f>
        <v>23</v>
      </c>
      <c r="J649" s="55" t="s">
        <v>262</v>
      </c>
      <c r="K649" s="56">
        <v>68010</v>
      </c>
      <c r="L649" s="57">
        <v>1</v>
      </c>
      <c r="M649" s="62">
        <f>ROUND(K649*P647+K649,0)</f>
        <v>68010</v>
      </c>
      <c r="N649" s="103"/>
      <c r="O649" s="48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</row>
    <row r="650" spans="1:34" s="87" customFormat="1" x14ac:dyDescent="0.25">
      <c r="A650" s="42" t="s">
        <v>928</v>
      </c>
      <c r="B650" s="49" t="s">
        <v>271</v>
      </c>
      <c r="C650" s="42" t="s">
        <v>856</v>
      </c>
      <c r="D650" s="105">
        <v>272659955</v>
      </c>
      <c r="E650" s="105">
        <v>9194127875</v>
      </c>
      <c r="F650" s="42" t="s">
        <v>256</v>
      </c>
      <c r="G650" s="84">
        <f>33739+(364+182)</f>
        <v>34285</v>
      </c>
      <c r="H650" s="53" t="str">
        <f>CHOOSE(MONTH(G650),"Jan","Feb","Mar","Apr","May","Jun","Jul","Aug","Sep","Oct","Nov","Dec")</f>
        <v>Nov</v>
      </c>
      <c r="I650" s="54">
        <f ca="1">DATEDIF(G650,TODAY(),"Y")</f>
        <v>22</v>
      </c>
      <c r="J650" s="55" t="s">
        <v>267</v>
      </c>
      <c r="K650" s="56">
        <v>48490</v>
      </c>
      <c r="L650" s="57">
        <v>2</v>
      </c>
      <c r="M650" s="62">
        <f>ROUND(K650*P648+K650,0)</f>
        <v>48490</v>
      </c>
      <c r="N650" s="103"/>
      <c r="O650" s="48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</row>
    <row r="651" spans="1:34" s="87" customFormat="1" x14ac:dyDescent="0.25">
      <c r="A651" s="42" t="s">
        <v>1006</v>
      </c>
      <c r="B651" s="49" t="s">
        <v>285</v>
      </c>
      <c r="C651" s="42" t="s">
        <v>930</v>
      </c>
      <c r="D651" s="105">
        <v>892040187</v>
      </c>
      <c r="E651" s="105">
        <v>2524877123</v>
      </c>
      <c r="F651" s="42" t="s">
        <v>256</v>
      </c>
      <c r="G651" s="84">
        <f>33740+(364+182)</f>
        <v>34286</v>
      </c>
      <c r="H651" s="53" t="str">
        <f>CHOOSE(MONTH(G651),"Jan","Feb","Mar","Apr","May","Jun","Jul","Aug","Sep","Oct","Nov","Dec")</f>
        <v>Nov</v>
      </c>
      <c r="I651" s="54">
        <f ca="1">DATEDIF(G651,TODAY(),"Y")</f>
        <v>22</v>
      </c>
      <c r="J651" s="55" t="s">
        <v>283</v>
      </c>
      <c r="K651" s="56">
        <v>87220</v>
      </c>
      <c r="L651" s="57">
        <v>1</v>
      </c>
      <c r="M651" s="62">
        <f>ROUND(K651*P649+K651,0)</f>
        <v>87220</v>
      </c>
      <c r="N651" s="103"/>
      <c r="O651" s="48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</row>
    <row r="652" spans="1:34" s="87" customFormat="1" x14ac:dyDescent="0.25">
      <c r="A652" s="42" t="s">
        <v>304</v>
      </c>
      <c r="B652" s="49" t="s">
        <v>285</v>
      </c>
      <c r="C652" s="42" t="s">
        <v>296</v>
      </c>
      <c r="D652" s="105">
        <v>237359447</v>
      </c>
      <c r="E652" s="105">
        <v>9195882405</v>
      </c>
      <c r="F652" s="42" t="s">
        <v>256</v>
      </c>
      <c r="G652" s="84">
        <f>33755+(364+182)</f>
        <v>34301</v>
      </c>
      <c r="H652" s="53" t="str">
        <f>CHOOSE(MONTH(G652),"Jan","Feb","Mar","Apr","May","Jun","Jul","Aug","Sep","Oct","Nov","Dec")</f>
        <v>Nov</v>
      </c>
      <c r="I652" s="54">
        <f ca="1">DATEDIF(G652,TODAY(),"Y")</f>
        <v>22</v>
      </c>
      <c r="J652" s="55" t="s">
        <v>257</v>
      </c>
      <c r="K652" s="56">
        <v>73440</v>
      </c>
      <c r="L652" s="57">
        <v>1</v>
      </c>
      <c r="M652" s="62">
        <f>ROUND(K652*P650+K652,0)</f>
        <v>73440</v>
      </c>
      <c r="N652" s="103"/>
      <c r="O652" s="48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</row>
    <row r="653" spans="1:34" s="87" customFormat="1" x14ac:dyDescent="0.25">
      <c r="A653" s="42" t="s">
        <v>370</v>
      </c>
      <c r="B653" s="49" t="s">
        <v>285</v>
      </c>
      <c r="C653" s="42" t="s">
        <v>312</v>
      </c>
      <c r="D653" s="105">
        <v>644862142</v>
      </c>
      <c r="E653" s="105">
        <v>9193274978</v>
      </c>
      <c r="F653" s="42" t="s">
        <v>247</v>
      </c>
      <c r="G653" s="84">
        <f>34105+(364+182)</f>
        <v>34651</v>
      </c>
      <c r="H653" s="53" t="str">
        <f>CHOOSE(MONTH(G653),"Jan","Feb","Mar","Apr","May","Jun","Jul","Aug","Sep","Oct","Nov","Dec")</f>
        <v>Nov</v>
      </c>
      <c r="I653" s="54">
        <f ca="1">DATEDIF(G653,TODAY(),"Y")</f>
        <v>21</v>
      </c>
      <c r="J653" s="55"/>
      <c r="K653" s="56">
        <v>46670</v>
      </c>
      <c r="L653" s="57">
        <v>3</v>
      </c>
      <c r="M653" s="62">
        <f>ROUND(K653*P651+K653,0)</f>
        <v>46670</v>
      </c>
      <c r="N653" s="103"/>
      <c r="O653" s="48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</row>
    <row r="654" spans="1:34" s="87" customFormat="1" x14ac:dyDescent="0.25">
      <c r="A654" s="42" t="s">
        <v>810</v>
      </c>
      <c r="B654" s="49" t="s">
        <v>285</v>
      </c>
      <c r="C654" s="42" t="s">
        <v>767</v>
      </c>
      <c r="D654" s="105">
        <v>933883118</v>
      </c>
      <c r="E654" s="105">
        <v>2523294956</v>
      </c>
      <c r="F654" s="42" t="s">
        <v>247</v>
      </c>
      <c r="G654" s="84">
        <f>34112+(364+182)</f>
        <v>34658</v>
      </c>
      <c r="H654" s="53" t="str">
        <f>CHOOSE(MONTH(G654),"Jan","Feb","Mar","Apr","May","Jun","Jul","Aug","Sep","Oct","Nov","Dec")</f>
        <v>Nov</v>
      </c>
      <c r="I654" s="54">
        <f ca="1">DATEDIF(G654,TODAY(),"Y")</f>
        <v>21</v>
      </c>
      <c r="J654" s="55"/>
      <c r="K654" s="56">
        <v>85980</v>
      </c>
      <c r="L654" s="57">
        <v>2</v>
      </c>
      <c r="M654" s="62">
        <f>ROUND(K654*P652+K654,0)</f>
        <v>85980</v>
      </c>
      <c r="N654" s="103"/>
      <c r="O654" s="48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</row>
    <row r="655" spans="1:34" s="87" customFormat="1" x14ac:dyDescent="0.25">
      <c r="A655" s="42" t="s">
        <v>611</v>
      </c>
      <c r="B655" s="49" t="s">
        <v>245</v>
      </c>
      <c r="C655" s="42" t="s">
        <v>465</v>
      </c>
      <c r="D655" s="105">
        <v>566726453</v>
      </c>
      <c r="E655" s="105">
        <v>9192168237</v>
      </c>
      <c r="F655" s="42" t="s">
        <v>256</v>
      </c>
      <c r="G655" s="84">
        <f>34474+(364+182)</f>
        <v>35020</v>
      </c>
      <c r="H655" s="53" t="str">
        <f>CHOOSE(MONTH(G655),"Jan","Feb","Mar","Apr","May","Jun","Jul","Aug","Sep","Oct","Nov","Dec")</f>
        <v>Nov</v>
      </c>
      <c r="I655" s="54">
        <f ca="1">DATEDIF(G655,TODAY(),"Y")</f>
        <v>20</v>
      </c>
      <c r="J655" s="55" t="s">
        <v>262</v>
      </c>
      <c r="K655" s="56">
        <v>38940</v>
      </c>
      <c r="L655" s="57">
        <v>2</v>
      </c>
      <c r="M655" s="62">
        <f>ROUND(K655*P653+K655,0)</f>
        <v>38940</v>
      </c>
      <c r="N655" s="103"/>
      <c r="O655" s="48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</row>
    <row r="656" spans="1:34" s="87" customFormat="1" x14ac:dyDescent="0.25">
      <c r="A656" s="42" t="s">
        <v>495</v>
      </c>
      <c r="B656" s="49" t="s">
        <v>285</v>
      </c>
      <c r="C656" s="42" t="s">
        <v>465</v>
      </c>
      <c r="D656" s="105">
        <v>561737107</v>
      </c>
      <c r="E656" s="105">
        <v>9198294156</v>
      </c>
      <c r="F656" s="42" t="s">
        <v>256</v>
      </c>
      <c r="G656" s="84">
        <f>34478+(364+182)</f>
        <v>35024</v>
      </c>
      <c r="H656" s="53" t="str">
        <f>CHOOSE(MONTH(G656),"Jan","Feb","Mar","Apr","May","Jun","Jul","Aug","Sep","Oct","Nov","Dec")</f>
        <v>Nov</v>
      </c>
      <c r="I656" s="54">
        <f ca="1">DATEDIF(G656,TODAY(),"Y")</f>
        <v>20</v>
      </c>
      <c r="J656" s="55" t="s">
        <v>283</v>
      </c>
      <c r="K656" s="56">
        <v>73072</v>
      </c>
      <c r="L656" s="57">
        <v>5</v>
      </c>
      <c r="M656" s="62">
        <f>ROUND(K656*P654+K656,0)</f>
        <v>73072</v>
      </c>
      <c r="N656" s="103"/>
      <c r="O656" s="48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</row>
    <row r="657" spans="1:34" s="87" customFormat="1" x14ac:dyDescent="0.25">
      <c r="A657" s="42" t="s">
        <v>890</v>
      </c>
      <c r="B657" s="49" t="s">
        <v>271</v>
      </c>
      <c r="C657" s="42" t="s">
        <v>856</v>
      </c>
      <c r="D657" s="105">
        <v>277925508</v>
      </c>
      <c r="E657" s="105">
        <v>2526584511</v>
      </c>
      <c r="F657" s="42" t="s">
        <v>256</v>
      </c>
      <c r="G657" s="84">
        <f>34827+(364+182)</f>
        <v>35373</v>
      </c>
      <c r="H657" s="53" t="str">
        <f>CHOOSE(MONTH(G657),"Jan","Feb","Mar","Apr","May","Jun","Jul","Aug","Sep","Oct","Nov","Dec")</f>
        <v>Nov</v>
      </c>
      <c r="I657" s="54">
        <f ca="1">DATEDIF(G657,TODAY(),"Y")</f>
        <v>20</v>
      </c>
      <c r="J657" s="55" t="s">
        <v>283</v>
      </c>
      <c r="K657" s="56">
        <v>66440</v>
      </c>
      <c r="L657" s="57">
        <v>3</v>
      </c>
      <c r="M657" s="62">
        <f>ROUND(K657*P655+K657,0)</f>
        <v>66440</v>
      </c>
      <c r="N657" s="103"/>
      <c r="O657" s="48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</row>
    <row r="658" spans="1:34" x14ac:dyDescent="0.25">
      <c r="A658" s="42" t="s">
        <v>570</v>
      </c>
      <c r="B658" s="49" t="s">
        <v>271</v>
      </c>
      <c r="C658" s="42" t="s">
        <v>465</v>
      </c>
      <c r="D658" s="105">
        <v>687006783</v>
      </c>
      <c r="E658" s="105">
        <v>2524919418</v>
      </c>
      <c r="F658" s="42" t="s">
        <v>247</v>
      </c>
      <c r="G658" s="84">
        <f>34833+(364+182)</f>
        <v>35379</v>
      </c>
      <c r="H658" s="53" t="str">
        <f>CHOOSE(MONTH(G658),"Jan","Feb","Mar","Apr","May","Jun","Jul","Aug","Sep","Oct","Nov","Dec")</f>
        <v>Nov</v>
      </c>
      <c r="I658" s="54">
        <f ca="1">DATEDIF(G658,TODAY(),"Y")</f>
        <v>19</v>
      </c>
      <c r="J658" s="55"/>
      <c r="K658" s="56">
        <v>66010</v>
      </c>
      <c r="L658" s="57">
        <v>2</v>
      </c>
      <c r="M658" s="62">
        <f>ROUND(K658*P656+K658,0)</f>
        <v>66010</v>
      </c>
    </row>
    <row r="659" spans="1:34" x14ac:dyDescent="0.25">
      <c r="A659" s="42" t="s">
        <v>748</v>
      </c>
      <c r="B659" s="49" t="s">
        <v>285</v>
      </c>
      <c r="C659" s="42" t="s">
        <v>705</v>
      </c>
      <c r="D659" s="105">
        <v>824046378</v>
      </c>
      <c r="E659" s="105">
        <v>9196335284</v>
      </c>
      <c r="F659" s="42" t="s">
        <v>256</v>
      </c>
      <c r="G659" s="84">
        <f>34833+(364+182)</f>
        <v>35379</v>
      </c>
      <c r="H659" s="53" t="str">
        <f>CHOOSE(MONTH(G659),"Jan","Feb","Mar","Apr","May","Jun","Jul","Aug","Sep","Oct","Nov","Dec")</f>
        <v>Nov</v>
      </c>
      <c r="I659" s="54">
        <f ca="1">DATEDIF(G659,TODAY(),"Y")</f>
        <v>19</v>
      </c>
      <c r="J659" s="55" t="s">
        <v>276</v>
      </c>
      <c r="K659" s="56">
        <v>67230</v>
      </c>
      <c r="L659" s="57">
        <v>4</v>
      </c>
      <c r="M659" s="62">
        <f>ROUND(K659*P657+K659,0)</f>
        <v>67230</v>
      </c>
    </row>
    <row r="660" spans="1:34" x14ac:dyDescent="0.25">
      <c r="A660" s="42" t="s">
        <v>684</v>
      </c>
      <c r="B660" s="49" t="s">
        <v>271</v>
      </c>
      <c r="C660" s="42" t="s">
        <v>678</v>
      </c>
      <c r="D660" s="105">
        <v>788832967</v>
      </c>
      <c r="E660" s="105">
        <v>2521919147</v>
      </c>
      <c r="F660" s="42" t="s">
        <v>252</v>
      </c>
      <c r="G660" s="84">
        <f>34835+(364+182)</f>
        <v>35381</v>
      </c>
      <c r="H660" s="53" t="str">
        <f>CHOOSE(MONTH(G660),"Jan","Feb","Mar","Apr","May","Jun","Jul","Aug","Sep","Oct","Nov","Dec")</f>
        <v>Nov</v>
      </c>
      <c r="I660" s="54">
        <f ca="1">DATEDIF(G660,TODAY(),"Y")</f>
        <v>19</v>
      </c>
      <c r="J660" s="55"/>
      <c r="K660" s="56">
        <v>35312</v>
      </c>
      <c r="L660" s="57">
        <v>3</v>
      </c>
      <c r="M660" s="62">
        <f>ROUND(K660*P658+K660,0)</f>
        <v>35312</v>
      </c>
    </row>
    <row r="661" spans="1:34" x14ac:dyDescent="0.25">
      <c r="A661" s="42" t="s">
        <v>310</v>
      </c>
      <c r="B661" s="49" t="s">
        <v>280</v>
      </c>
      <c r="C661" s="42" t="s">
        <v>307</v>
      </c>
      <c r="D661" s="105">
        <v>529609767</v>
      </c>
      <c r="E661" s="105">
        <v>2528006736</v>
      </c>
      <c r="F661" s="42" t="s">
        <v>247</v>
      </c>
      <c r="G661" s="84">
        <f>34849+(364+182)</f>
        <v>35395</v>
      </c>
      <c r="H661" s="53" t="str">
        <f>CHOOSE(MONTH(G661),"Jan","Feb","Mar","Apr","May","Jun","Jul","Aug","Sep","Oct","Nov","Dec")</f>
        <v>Nov</v>
      </c>
      <c r="I661" s="54">
        <f ca="1">DATEDIF(G661,TODAY(),"Y")</f>
        <v>19</v>
      </c>
      <c r="J661" s="55"/>
      <c r="K661" s="56">
        <v>58130</v>
      </c>
      <c r="L661" s="57">
        <v>2</v>
      </c>
      <c r="M661" s="62">
        <f>ROUND(K661*P659+K661,0)</f>
        <v>58130</v>
      </c>
    </row>
    <row r="662" spans="1:34" x14ac:dyDescent="0.25">
      <c r="A662" s="42" t="s">
        <v>395</v>
      </c>
      <c r="B662" s="49" t="s">
        <v>271</v>
      </c>
      <c r="C662" s="42" t="s">
        <v>391</v>
      </c>
      <c r="D662" s="105">
        <v>197789466</v>
      </c>
      <c r="E662" s="105">
        <v>9191472895</v>
      </c>
      <c r="F662" s="42" t="s">
        <v>247</v>
      </c>
      <c r="G662" s="84">
        <f>35191+(364+182)</f>
        <v>35737</v>
      </c>
      <c r="H662" s="53" t="str">
        <f>CHOOSE(MONTH(G662),"Jan","Feb","Mar","Apr","May","Jun","Jul","Aug","Sep","Oct","Nov","Dec")</f>
        <v>Nov</v>
      </c>
      <c r="I662" s="54">
        <f ca="1">DATEDIF(G662,TODAY(),"Y")</f>
        <v>19</v>
      </c>
      <c r="J662" s="55"/>
      <c r="K662" s="56">
        <v>76020</v>
      </c>
      <c r="L662" s="57">
        <v>1</v>
      </c>
      <c r="M662" s="62">
        <f>ROUND(K662*P660+K662,0)</f>
        <v>76020</v>
      </c>
    </row>
    <row r="663" spans="1:34" x14ac:dyDescent="0.25">
      <c r="A663" s="48" t="s">
        <v>282</v>
      </c>
      <c r="B663" s="49" t="s">
        <v>280</v>
      </c>
      <c r="C663" s="48" t="s">
        <v>272</v>
      </c>
      <c r="D663" s="109">
        <v>475256935</v>
      </c>
      <c r="E663" s="109">
        <v>2527852326</v>
      </c>
      <c r="F663" s="48" t="s">
        <v>256</v>
      </c>
      <c r="G663" s="108">
        <f>35196+(364+182)</f>
        <v>35742</v>
      </c>
      <c r="H663" s="53" t="str">
        <f>CHOOSE(MONTH(G663),"Jan","Feb","Mar","Apr","May","Jun","Jul","Aug","Sep","Oct","Nov","Dec")</f>
        <v>Nov</v>
      </c>
      <c r="I663" s="54">
        <f ca="1">DATEDIF(G663,TODAY(),"Y")</f>
        <v>19</v>
      </c>
      <c r="J663" s="55" t="s">
        <v>283</v>
      </c>
      <c r="K663" s="56">
        <v>85300</v>
      </c>
      <c r="L663" s="57">
        <v>2</v>
      </c>
      <c r="M663" s="62">
        <f>ROUND(K663*P661+K663,0)</f>
        <v>85300</v>
      </c>
      <c r="O663" s="107"/>
    </row>
    <row r="664" spans="1:34" x14ac:dyDescent="0.25">
      <c r="A664" s="42" t="s">
        <v>568</v>
      </c>
      <c r="B664" s="49" t="s">
        <v>271</v>
      </c>
      <c r="C664" s="42" t="s">
        <v>465</v>
      </c>
      <c r="D664" s="105">
        <v>462995574</v>
      </c>
      <c r="E664" s="105">
        <v>2523431009</v>
      </c>
      <c r="F664" s="42" t="s">
        <v>256</v>
      </c>
      <c r="G664" s="84">
        <f>35555+(364+182)</f>
        <v>36101</v>
      </c>
      <c r="H664" s="53" t="str">
        <f>CHOOSE(MONTH(G664),"Jan","Feb","Mar","Apr","May","Jun","Jul","Aug","Sep","Oct","Nov","Dec")</f>
        <v>Nov</v>
      </c>
      <c r="I664" s="54">
        <f ca="1">DATEDIF(G664,TODAY(),"Y")</f>
        <v>18</v>
      </c>
      <c r="J664" s="55" t="s">
        <v>257</v>
      </c>
      <c r="K664" s="56">
        <v>88240</v>
      </c>
      <c r="L664" s="57">
        <v>5</v>
      </c>
      <c r="M664" s="62">
        <f>ROUND(K664*P662+K664,0)</f>
        <v>88240</v>
      </c>
    </row>
    <row r="665" spans="1:34" x14ac:dyDescent="0.25">
      <c r="A665" s="42" t="s">
        <v>625</v>
      </c>
      <c r="B665" s="49" t="s">
        <v>285</v>
      </c>
      <c r="C665" s="42" t="s">
        <v>626</v>
      </c>
      <c r="D665" s="105">
        <v>567266382</v>
      </c>
      <c r="E665" s="105">
        <v>2521683770</v>
      </c>
      <c r="F665" s="42" t="s">
        <v>256</v>
      </c>
      <c r="G665" s="84">
        <f>35570+(364+182)</f>
        <v>36116</v>
      </c>
      <c r="H665" s="53" t="str">
        <f>CHOOSE(MONTH(G665),"Jan","Feb","Mar","Apr","May","Jun","Jul","Aug","Sep","Oct","Nov","Dec")</f>
        <v>Nov</v>
      </c>
      <c r="I665" s="54">
        <f ca="1">DATEDIF(G665,TODAY(),"Y")</f>
        <v>17</v>
      </c>
      <c r="J665" s="55" t="s">
        <v>276</v>
      </c>
      <c r="K665" s="56">
        <v>49770</v>
      </c>
      <c r="L665" s="57">
        <v>1</v>
      </c>
      <c r="M665" s="62">
        <f>ROUND(K665*P663+K665,0)</f>
        <v>49770</v>
      </c>
    </row>
    <row r="666" spans="1:34" x14ac:dyDescent="0.25">
      <c r="A666" s="42" t="s">
        <v>647</v>
      </c>
      <c r="B666" s="49" t="s">
        <v>245</v>
      </c>
      <c r="C666" s="42" t="s">
        <v>626</v>
      </c>
      <c r="D666" s="105">
        <v>499124019</v>
      </c>
      <c r="E666" s="105">
        <v>9195978858</v>
      </c>
      <c r="F666" s="42" t="s">
        <v>261</v>
      </c>
      <c r="G666" s="84">
        <f>35575+(364+182)</f>
        <v>36121</v>
      </c>
      <c r="H666" s="53" t="str">
        <f>CHOOSE(MONTH(G666),"Jan","Feb","Mar","Apr","May","Jun","Jul","Aug","Sep","Oct","Nov","Dec")</f>
        <v>Nov</v>
      </c>
      <c r="I666" s="54">
        <f ca="1">DATEDIF(G666,TODAY(),"Y")</f>
        <v>17</v>
      </c>
      <c r="J666" s="55" t="s">
        <v>283</v>
      </c>
      <c r="K666" s="56">
        <v>28880</v>
      </c>
      <c r="L666" s="57">
        <v>3</v>
      </c>
      <c r="M666" s="62">
        <f>ROUND(K666*P664+K666,0)</f>
        <v>28880</v>
      </c>
    </row>
    <row r="667" spans="1:34" x14ac:dyDescent="0.25">
      <c r="A667" s="42" t="s">
        <v>490</v>
      </c>
      <c r="B667" s="49" t="s">
        <v>245</v>
      </c>
      <c r="C667" s="42" t="s">
        <v>465</v>
      </c>
      <c r="D667" s="105">
        <v>354619285</v>
      </c>
      <c r="E667" s="105">
        <v>2526657361</v>
      </c>
      <c r="F667" s="42" t="s">
        <v>256</v>
      </c>
      <c r="G667" s="84">
        <f>35576+(364+182)</f>
        <v>36122</v>
      </c>
      <c r="H667" s="53" t="str">
        <f>CHOOSE(MONTH(G667),"Jan","Feb","Mar","Apr","May","Jun","Jul","Aug","Sep","Oct","Nov","Dec")</f>
        <v>Nov</v>
      </c>
      <c r="I667" s="54">
        <f ca="1">DATEDIF(G667,TODAY(),"Y")</f>
        <v>17</v>
      </c>
      <c r="J667" s="55" t="s">
        <v>262</v>
      </c>
      <c r="K667" s="56">
        <v>22660</v>
      </c>
      <c r="L667" s="57">
        <v>2</v>
      </c>
      <c r="M667" s="62">
        <f>ROUND(K667*P665+K667,0)</f>
        <v>22660</v>
      </c>
    </row>
    <row r="668" spans="1:34" x14ac:dyDescent="0.25">
      <c r="A668" s="42" t="s">
        <v>685</v>
      </c>
      <c r="B668" s="49" t="s">
        <v>266</v>
      </c>
      <c r="C668" s="42" t="s">
        <v>678</v>
      </c>
      <c r="D668" s="105">
        <v>113377726</v>
      </c>
      <c r="E668" s="105">
        <v>9197494648</v>
      </c>
      <c r="F668" s="42" t="s">
        <v>256</v>
      </c>
      <c r="G668" s="84">
        <f>35920+(364+182)</f>
        <v>36466</v>
      </c>
      <c r="H668" s="53" t="str">
        <f>CHOOSE(MONTH(G668),"Jan","Feb","Mar","Apr","May","Jun","Jul","Aug","Sep","Oct","Nov","Dec")</f>
        <v>Nov</v>
      </c>
      <c r="I668" s="54">
        <f ca="1">DATEDIF(G668,TODAY(),"Y")</f>
        <v>17</v>
      </c>
      <c r="J668" s="55" t="s">
        <v>283</v>
      </c>
      <c r="K668" s="56">
        <v>68410</v>
      </c>
      <c r="L668" s="57">
        <v>5</v>
      </c>
      <c r="M668" s="62">
        <f>ROUND(K668*P666+K668,0)</f>
        <v>68410</v>
      </c>
    </row>
    <row r="669" spans="1:34" x14ac:dyDescent="0.25">
      <c r="A669" s="42" t="s">
        <v>332</v>
      </c>
      <c r="B669" s="49" t="s">
        <v>245</v>
      </c>
      <c r="C669" s="42" t="s">
        <v>312</v>
      </c>
      <c r="D669" s="105">
        <v>393393249</v>
      </c>
      <c r="E669" s="105">
        <v>9194980674</v>
      </c>
      <c r="F669" s="42" t="s">
        <v>247</v>
      </c>
      <c r="G669" s="84">
        <f>35924+(364+182)</f>
        <v>36470</v>
      </c>
      <c r="H669" s="53" t="str">
        <f>CHOOSE(MONTH(G669),"Jan","Feb","Mar","Apr","May","Jun","Jul","Aug","Sep","Oct","Nov","Dec")</f>
        <v>Nov</v>
      </c>
      <c r="I669" s="54">
        <f ca="1">DATEDIF(G669,TODAY(),"Y")</f>
        <v>17</v>
      </c>
      <c r="J669" s="55"/>
      <c r="K669" s="56">
        <v>23560</v>
      </c>
      <c r="L669" s="57">
        <v>3</v>
      </c>
      <c r="M669" s="62">
        <f>ROUND(K669*P667+K669,0)</f>
        <v>23560</v>
      </c>
    </row>
    <row r="670" spans="1:34" x14ac:dyDescent="0.25">
      <c r="A670" s="42" t="s">
        <v>873</v>
      </c>
      <c r="B670" s="49" t="s">
        <v>285</v>
      </c>
      <c r="C670" s="42" t="s">
        <v>856</v>
      </c>
      <c r="D670" s="105">
        <v>135633006</v>
      </c>
      <c r="E670" s="105">
        <v>2526732103</v>
      </c>
      <c r="F670" s="42" t="s">
        <v>247</v>
      </c>
      <c r="G670" s="84">
        <f>35933+(364+182)</f>
        <v>36479</v>
      </c>
      <c r="H670" s="53" t="str">
        <f>CHOOSE(MONTH(G670),"Jan","Feb","Mar","Apr","May","Jun","Jul","Aug","Sep","Oct","Nov","Dec")</f>
        <v>Nov</v>
      </c>
      <c r="I670" s="54">
        <f ca="1">DATEDIF(G670,TODAY(),"Y")</f>
        <v>16</v>
      </c>
      <c r="J670" s="55"/>
      <c r="K670" s="56">
        <v>54840</v>
      </c>
      <c r="L670" s="57">
        <v>4</v>
      </c>
      <c r="M670" s="62">
        <f>ROUND(K670*P668+K670,0)</f>
        <v>54840</v>
      </c>
    </row>
    <row r="671" spans="1:34" x14ac:dyDescent="0.25">
      <c r="A671" s="42" t="s">
        <v>339</v>
      </c>
      <c r="B671" s="49" t="s">
        <v>245</v>
      </c>
      <c r="C671" s="42" t="s">
        <v>312</v>
      </c>
      <c r="D671" s="105">
        <v>822974734</v>
      </c>
      <c r="E671" s="105">
        <v>2524924736</v>
      </c>
      <c r="F671" s="42" t="s">
        <v>252</v>
      </c>
      <c r="G671" s="84">
        <f>35941+(364+182)</f>
        <v>36487</v>
      </c>
      <c r="H671" s="53" t="str">
        <f>CHOOSE(MONTH(G671),"Jan","Feb","Mar","Apr","May","Jun","Jul","Aug","Sep","Oct","Nov","Dec")</f>
        <v>Nov</v>
      </c>
      <c r="I671" s="54">
        <f ca="1">DATEDIF(G671,TODAY(),"Y")</f>
        <v>16</v>
      </c>
      <c r="J671" s="55"/>
      <c r="K671" s="56">
        <v>33056</v>
      </c>
      <c r="L671" s="57">
        <v>5</v>
      </c>
      <c r="M671" s="62">
        <f>ROUND(K671*P669+K671,0)</f>
        <v>33056</v>
      </c>
    </row>
    <row r="672" spans="1:34" x14ac:dyDescent="0.25">
      <c r="A672" s="42" t="s">
        <v>955</v>
      </c>
      <c r="B672" s="49" t="s">
        <v>251</v>
      </c>
      <c r="C672" s="42" t="s">
        <v>930</v>
      </c>
      <c r="D672" s="105">
        <v>635240617</v>
      </c>
      <c r="E672" s="105">
        <v>9192259651</v>
      </c>
      <c r="F672" s="42" t="s">
        <v>256</v>
      </c>
      <c r="G672" s="84">
        <f>36297+(364+182)</f>
        <v>36843</v>
      </c>
      <c r="H672" s="53" t="str">
        <f>CHOOSE(MONTH(G672),"Jan","Feb","Mar","Apr","May","Jun","Jul","Aug","Sep","Oct","Nov","Dec")</f>
        <v>Nov</v>
      </c>
      <c r="I672" s="54">
        <f ca="1">DATEDIF(G672,TODAY(),"Y")</f>
        <v>15</v>
      </c>
      <c r="J672" s="55" t="s">
        <v>283</v>
      </c>
      <c r="K672" s="56">
        <v>47630</v>
      </c>
      <c r="L672" s="57">
        <v>3</v>
      </c>
      <c r="M672" s="62">
        <f>ROUND(K672*P670+K672,0)</f>
        <v>47630</v>
      </c>
    </row>
    <row r="673" spans="1:15" x14ac:dyDescent="0.25">
      <c r="A673" s="42" t="s">
        <v>817</v>
      </c>
      <c r="B673" s="49" t="s">
        <v>285</v>
      </c>
      <c r="C673" s="42" t="s">
        <v>767</v>
      </c>
      <c r="D673" s="105">
        <v>569882669</v>
      </c>
      <c r="E673" s="105">
        <v>2523122083</v>
      </c>
      <c r="F673" s="42" t="s">
        <v>256</v>
      </c>
      <c r="G673" s="84">
        <f>37022+(364+182)</f>
        <v>37568</v>
      </c>
      <c r="H673" s="53" t="str">
        <f>CHOOSE(MONTH(G673),"Jan","Feb","Mar","Apr","May","Jun","Jul","Aug","Sep","Oct","Nov","Dec")</f>
        <v>Nov</v>
      </c>
      <c r="I673" s="54">
        <f ca="1">DATEDIF(G673,TODAY(),"Y")</f>
        <v>14</v>
      </c>
      <c r="J673" s="55" t="s">
        <v>262</v>
      </c>
      <c r="K673" s="56">
        <v>45100</v>
      </c>
      <c r="L673" s="57">
        <v>2</v>
      </c>
      <c r="M673" s="62">
        <f>ROUND(K673*P671+K673,0)</f>
        <v>45100</v>
      </c>
    </row>
    <row r="674" spans="1:15" x14ac:dyDescent="0.25">
      <c r="A674" s="42" t="s">
        <v>528</v>
      </c>
      <c r="B674" s="49" t="s">
        <v>266</v>
      </c>
      <c r="C674" s="42" t="s">
        <v>465</v>
      </c>
      <c r="D674" s="105">
        <v>135965371</v>
      </c>
      <c r="E674" s="105">
        <v>9195592950</v>
      </c>
      <c r="F674" s="42" t="s">
        <v>256</v>
      </c>
      <c r="G674" s="84">
        <f>37390+(364+182)</f>
        <v>37936</v>
      </c>
      <c r="H674" s="53" t="str">
        <f>CHOOSE(MONTH(G674),"Jan","Feb","Mar","Apr","May","Jun","Jul","Aug","Sep","Oct","Nov","Dec")</f>
        <v>Nov</v>
      </c>
      <c r="I674" s="54">
        <f ca="1">DATEDIF(G674,TODAY(),"Y")</f>
        <v>12</v>
      </c>
      <c r="J674" s="55" t="s">
        <v>283</v>
      </c>
      <c r="K674" s="56">
        <v>30920</v>
      </c>
      <c r="L674" s="57">
        <v>5</v>
      </c>
      <c r="M674" s="62">
        <f>ROUND(K674*P672+K674,0)</f>
        <v>30920</v>
      </c>
    </row>
    <row r="675" spans="1:15" x14ac:dyDescent="0.25">
      <c r="A675" s="42" t="s">
        <v>621</v>
      </c>
      <c r="B675" s="49" t="s">
        <v>285</v>
      </c>
      <c r="C675" s="42" t="s">
        <v>618</v>
      </c>
      <c r="D675" s="105">
        <v>214234804</v>
      </c>
      <c r="E675" s="105">
        <v>2528908079</v>
      </c>
      <c r="F675" s="42" t="s">
        <v>256</v>
      </c>
      <c r="G675" s="84">
        <f>37390+(364+182)</f>
        <v>37936</v>
      </c>
      <c r="H675" s="53" t="str">
        <f>CHOOSE(MONTH(G675),"Jan","Feb","Mar","Apr","May","Jun","Jul","Aug","Sep","Oct","Nov","Dec")</f>
        <v>Nov</v>
      </c>
      <c r="I675" s="54">
        <f ca="1">DATEDIF(G675,TODAY(),"Y")</f>
        <v>12</v>
      </c>
      <c r="J675" s="55" t="s">
        <v>283</v>
      </c>
      <c r="K675" s="56">
        <v>53870</v>
      </c>
      <c r="L675" s="57">
        <v>2</v>
      </c>
      <c r="M675" s="62">
        <f>ROUND(K675*P673+K675,0)</f>
        <v>53870</v>
      </c>
    </row>
    <row r="676" spans="1:15" x14ac:dyDescent="0.25">
      <c r="A676" s="42" t="s">
        <v>503</v>
      </c>
      <c r="B676" s="49" t="s">
        <v>271</v>
      </c>
      <c r="C676" s="42" t="s">
        <v>465</v>
      </c>
      <c r="D676" s="105">
        <v>708108747</v>
      </c>
      <c r="E676" s="105">
        <v>9192520526</v>
      </c>
      <c r="F676" s="42" t="s">
        <v>256</v>
      </c>
      <c r="G676" s="84">
        <f>37397+(364+182)</f>
        <v>37943</v>
      </c>
      <c r="H676" s="53" t="str">
        <f>CHOOSE(MONTH(G676),"Jan","Feb","Mar","Apr","May","Jun","Jul","Aug","Sep","Oct","Nov","Dec")</f>
        <v>Nov</v>
      </c>
      <c r="I676" s="54">
        <f ca="1">DATEDIF(G676,TODAY(),"Y")</f>
        <v>12</v>
      </c>
      <c r="J676" s="55" t="s">
        <v>257</v>
      </c>
      <c r="K676" s="56">
        <v>75176</v>
      </c>
      <c r="L676" s="57">
        <v>3</v>
      </c>
      <c r="M676" s="62">
        <f>ROUND(K676*P674+K676,0)</f>
        <v>75176</v>
      </c>
    </row>
    <row r="677" spans="1:15" x14ac:dyDescent="0.25">
      <c r="A677" s="42" t="s">
        <v>458</v>
      </c>
      <c r="B677" s="49" t="s">
        <v>285</v>
      </c>
      <c r="C677" s="42" t="s">
        <v>456</v>
      </c>
      <c r="D677" s="105">
        <v>771953685</v>
      </c>
      <c r="E677" s="105">
        <v>2526739978</v>
      </c>
      <c r="F677" s="42" t="s">
        <v>252</v>
      </c>
      <c r="G677" s="84">
        <f>37400+(364+182)</f>
        <v>37946</v>
      </c>
      <c r="H677" s="53" t="str">
        <f>CHOOSE(MONTH(G677),"Jan","Feb","Mar","Apr","May","Jun","Jul","Aug","Sep","Oct","Nov","Dec")</f>
        <v>Nov</v>
      </c>
      <c r="I677" s="54">
        <f ca="1">DATEDIF(G677,TODAY(),"Y")</f>
        <v>12</v>
      </c>
      <c r="J677" s="55" t="s">
        <v>257</v>
      </c>
      <c r="K677" s="56">
        <v>85130</v>
      </c>
      <c r="L677" s="57">
        <v>5</v>
      </c>
      <c r="M677" s="62">
        <f>ROUND(K677*P675+K677,0)</f>
        <v>85130</v>
      </c>
    </row>
    <row r="678" spans="1:15" x14ac:dyDescent="0.25">
      <c r="A678" s="42" t="s">
        <v>508</v>
      </c>
      <c r="B678" s="49" t="s">
        <v>285</v>
      </c>
      <c r="C678" s="42" t="s">
        <v>465</v>
      </c>
      <c r="D678" s="105">
        <v>399060898</v>
      </c>
      <c r="E678" s="105">
        <v>9195197037</v>
      </c>
      <c r="F678" s="42" t="s">
        <v>247</v>
      </c>
      <c r="G678" s="84">
        <f>37775+(364+182)</f>
        <v>38321</v>
      </c>
      <c r="H678" s="53" t="str">
        <f>CHOOSE(MONTH(G678),"Jan","Feb","Mar","Apr","May","Jun","Jul","Aug","Sep","Oct","Nov","Dec")</f>
        <v>Nov</v>
      </c>
      <c r="I678" s="54">
        <f ca="1">DATEDIF(G678,TODAY(),"Y")</f>
        <v>11</v>
      </c>
      <c r="J678" s="55"/>
      <c r="K678" s="56">
        <v>37980</v>
      </c>
      <c r="L678" s="57">
        <v>4</v>
      </c>
      <c r="M678" s="62">
        <f>ROUND(K678*P676+K678,0)</f>
        <v>37980</v>
      </c>
    </row>
    <row r="679" spans="1:15" x14ac:dyDescent="0.25">
      <c r="A679" s="42" t="s">
        <v>516</v>
      </c>
      <c r="B679" s="49" t="s">
        <v>266</v>
      </c>
      <c r="C679" s="42" t="s">
        <v>465</v>
      </c>
      <c r="D679" s="105">
        <v>590896401</v>
      </c>
      <c r="E679" s="105">
        <v>2523122603</v>
      </c>
      <c r="F679" s="42" t="s">
        <v>256</v>
      </c>
      <c r="G679" s="84">
        <f>37775+(364+182)</f>
        <v>38321</v>
      </c>
      <c r="H679" s="53" t="str">
        <f>CHOOSE(MONTH(G679),"Jan","Feb","Mar","Apr","May","Jun","Jul","Aug","Sep","Oct","Nov","Dec")</f>
        <v>Nov</v>
      </c>
      <c r="I679" s="54">
        <f ca="1">DATEDIF(G679,TODAY(),"Y")</f>
        <v>11</v>
      </c>
      <c r="J679" s="55" t="s">
        <v>262</v>
      </c>
      <c r="K679" s="56">
        <v>70760</v>
      </c>
      <c r="L679" s="57">
        <v>1</v>
      </c>
      <c r="M679" s="62">
        <f>ROUND(K679*P677+K679,0)</f>
        <v>70760</v>
      </c>
    </row>
    <row r="680" spans="1:15" x14ac:dyDescent="0.25">
      <c r="A680" s="42" t="s">
        <v>583</v>
      </c>
      <c r="B680" s="49" t="s">
        <v>285</v>
      </c>
      <c r="C680" s="42" t="s">
        <v>465</v>
      </c>
      <c r="D680" s="105">
        <v>249929042</v>
      </c>
      <c r="E680" s="105">
        <v>2525790872</v>
      </c>
      <c r="F680" s="42" t="s">
        <v>256</v>
      </c>
      <c r="G680" s="84">
        <f>38118+(364+182)</f>
        <v>38664</v>
      </c>
      <c r="H680" s="53" t="str">
        <f>CHOOSE(MONTH(G680),"Jan","Feb","Mar","Apr","May","Jun","Jul","Aug","Sep","Oct","Nov","Dec")</f>
        <v>Nov</v>
      </c>
      <c r="I680" s="54">
        <f ca="1">DATEDIF(G680,TODAY(),"Y")</f>
        <v>11</v>
      </c>
      <c r="J680" s="55" t="s">
        <v>257</v>
      </c>
      <c r="K680" s="56">
        <v>61060</v>
      </c>
      <c r="L680" s="57">
        <v>5</v>
      </c>
      <c r="M680" s="62">
        <f>ROUND(K680*P678+K680,0)</f>
        <v>61060</v>
      </c>
    </row>
    <row r="681" spans="1:15" x14ac:dyDescent="0.25">
      <c r="A681" s="42" t="s">
        <v>622</v>
      </c>
      <c r="B681" s="49" t="s">
        <v>245</v>
      </c>
      <c r="C681" s="42" t="s">
        <v>618</v>
      </c>
      <c r="D681" s="105">
        <v>620072502</v>
      </c>
      <c r="E681" s="105">
        <v>9191264013</v>
      </c>
      <c r="F681" s="42" t="s">
        <v>256</v>
      </c>
      <c r="G681" s="84">
        <f>38492+(364+182)</f>
        <v>39038</v>
      </c>
      <c r="H681" s="53" t="str">
        <f>CHOOSE(MONTH(G681),"Jan","Feb","Mar","Apr","May","Jun","Jul","Aug","Sep","Oct","Nov","Dec")</f>
        <v>Nov</v>
      </c>
      <c r="I681" s="54">
        <f ca="1">DATEDIF(G681,TODAY(),"Y")</f>
        <v>9</v>
      </c>
      <c r="J681" s="55" t="s">
        <v>276</v>
      </c>
      <c r="K681" s="56">
        <v>71400</v>
      </c>
      <c r="L681" s="57">
        <v>4</v>
      </c>
      <c r="M681" s="62">
        <f>ROUND(K681*P679+K681,0)</f>
        <v>71400</v>
      </c>
    </row>
    <row r="682" spans="1:15" x14ac:dyDescent="0.25">
      <c r="A682" s="42" t="s">
        <v>313</v>
      </c>
      <c r="B682" s="49" t="s">
        <v>245</v>
      </c>
      <c r="C682" s="42" t="s">
        <v>312</v>
      </c>
      <c r="D682" s="105">
        <v>580960042</v>
      </c>
      <c r="E682" s="105">
        <v>9197528456</v>
      </c>
      <c r="F682" s="42" t="s">
        <v>247</v>
      </c>
      <c r="G682" s="84">
        <f>38494+(364+182)</f>
        <v>39040</v>
      </c>
      <c r="H682" s="53" t="str">
        <f>CHOOSE(MONTH(G682),"Jan","Feb","Mar","Apr","May","Jun","Jul","Aug","Sep","Oct","Nov","Dec")</f>
        <v>Nov</v>
      </c>
      <c r="I682" s="54">
        <f ca="1">DATEDIF(G682,TODAY(),"Y")</f>
        <v>9</v>
      </c>
      <c r="J682" s="55"/>
      <c r="K682" s="56">
        <v>62150</v>
      </c>
      <c r="L682" s="57">
        <v>4</v>
      </c>
      <c r="M682" s="62">
        <f>ROUND(K682*P680+K682,0)</f>
        <v>62150</v>
      </c>
    </row>
    <row r="683" spans="1:15" x14ac:dyDescent="0.25">
      <c r="A683" s="42" t="s">
        <v>830</v>
      </c>
      <c r="B683" s="49" t="s">
        <v>271</v>
      </c>
      <c r="C683" s="42" t="s">
        <v>767</v>
      </c>
      <c r="D683" s="105">
        <v>990843236</v>
      </c>
      <c r="E683" s="105">
        <v>9196245634</v>
      </c>
      <c r="F683" s="42" t="s">
        <v>256</v>
      </c>
      <c r="G683" s="84">
        <f>38501+(364+182)</f>
        <v>39047</v>
      </c>
      <c r="H683" s="53" t="str">
        <f>CHOOSE(MONTH(G683),"Jan","Feb","Mar","Apr","May","Jun","Jul","Aug","Sep","Oct","Nov","Dec")</f>
        <v>Nov</v>
      </c>
      <c r="I683" s="54">
        <f ca="1">DATEDIF(G683,TODAY(),"Y")</f>
        <v>9</v>
      </c>
      <c r="J683" s="55" t="s">
        <v>283</v>
      </c>
      <c r="K683" s="56">
        <v>65880</v>
      </c>
      <c r="L683" s="57">
        <v>5</v>
      </c>
      <c r="M683" s="62">
        <f>ROUND(K683*P681+K683,0)</f>
        <v>65880</v>
      </c>
    </row>
    <row r="684" spans="1:15" x14ac:dyDescent="0.25">
      <c r="A684" s="42" t="s">
        <v>379</v>
      </c>
      <c r="B684" s="49" t="s">
        <v>280</v>
      </c>
      <c r="C684" s="42" t="s">
        <v>372</v>
      </c>
      <c r="D684" s="105">
        <v>676831149</v>
      </c>
      <c r="E684" s="105">
        <v>9192824485</v>
      </c>
      <c r="F684" s="42" t="s">
        <v>256</v>
      </c>
      <c r="G684" s="84">
        <f>38842+(364+182)</f>
        <v>39388</v>
      </c>
      <c r="H684" s="53" t="str">
        <f>CHOOSE(MONTH(G684),"Jan","Feb","Mar","Apr","May","Jun","Jul","Aug","Sep","Oct","Nov","Dec")</f>
        <v>Nov</v>
      </c>
      <c r="I684" s="54">
        <f ca="1">DATEDIF(G684,TODAY(),"Y")</f>
        <v>9</v>
      </c>
      <c r="J684" s="55" t="s">
        <v>257</v>
      </c>
      <c r="K684" s="56">
        <v>71120</v>
      </c>
      <c r="L684" s="57">
        <v>4</v>
      </c>
      <c r="M684" s="62">
        <f>ROUND(K684*P682+K684,0)</f>
        <v>71120</v>
      </c>
    </row>
    <row r="685" spans="1:15" x14ac:dyDescent="0.25">
      <c r="A685" s="42" t="s">
        <v>564</v>
      </c>
      <c r="B685" s="49" t="s">
        <v>271</v>
      </c>
      <c r="C685" s="42" t="s">
        <v>465</v>
      </c>
      <c r="D685" s="105">
        <v>930314379</v>
      </c>
      <c r="E685" s="105">
        <v>2524854867</v>
      </c>
      <c r="F685" s="42" t="s">
        <v>256</v>
      </c>
      <c r="G685" s="84">
        <f>38844+(364+182)</f>
        <v>39390</v>
      </c>
      <c r="H685" s="53" t="str">
        <f>CHOOSE(MONTH(G685),"Jan","Feb","Mar","Apr","May","Jun","Jul","Aug","Sep","Oct","Nov","Dec")</f>
        <v>Nov</v>
      </c>
      <c r="I685" s="54">
        <f ca="1">DATEDIF(G685,TODAY(),"Y")</f>
        <v>9</v>
      </c>
      <c r="J685" s="55" t="s">
        <v>267</v>
      </c>
      <c r="K685" s="56">
        <v>71490</v>
      </c>
      <c r="L685" s="57">
        <v>5</v>
      </c>
      <c r="M685" s="62">
        <f>ROUND(K685*P683+K685,0)</f>
        <v>71490</v>
      </c>
    </row>
    <row r="686" spans="1:15" x14ac:dyDescent="0.25">
      <c r="A686" s="42" t="s">
        <v>726</v>
      </c>
      <c r="B686" s="49" t="s">
        <v>285</v>
      </c>
      <c r="C686" s="42" t="s">
        <v>705</v>
      </c>
      <c r="D686" s="105">
        <v>145240921</v>
      </c>
      <c r="E686" s="105">
        <v>2525227751</v>
      </c>
      <c r="F686" s="42" t="s">
        <v>256</v>
      </c>
      <c r="G686" s="84">
        <f>38858+(364+182)</f>
        <v>39404</v>
      </c>
      <c r="H686" s="53" t="str">
        <f>CHOOSE(MONTH(G686),"Jan","Feb","Mar","Apr","May","Jun","Jul","Aug","Sep","Oct","Nov","Dec")</f>
        <v>Nov</v>
      </c>
      <c r="I686" s="54">
        <f ca="1">DATEDIF(G686,TODAY(),"Y")</f>
        <v>8</v>
      </c>
      <c r="J686" s="55" t="s">
        <v>267</v>
      </c>
      <c r="K686" s="56">
        <v>50990</v>
      </c>
      <c r="L686" s="57">
        <v>4</v>
      </c>
      <c r="M686" s="62">
        <f>ROUND(K686*P684+K686,0)</f>
        <v>50990</v>
      </c>
    </row>
    <row r="687" spans="1:15" x14ac:dyDescent="0.25">
      <c r="A687" s="42" t="s">
        <v>422</v>
      </c>
      <c r="B687" s="49" t="s">
        <v>271</v>
      </c>
      <c r="C687" s="42" t="s">
        <v>417</v>
      </c>
      <c r="D687" s="105">
        <v>736688620</v>
      </c>
      <c r="E687" s="105">
        <v>2524562999</v>
      </c>
      <c r="F687" s="42" t="s">
        <v>261</v>
      </c>
      <c r="G687" s="84">
        <f>39222+(364+182)</f>
        <v>39768</v>
      </c>
      <c r="H687" s="53" t="str">
        <f>CHOOSE(MONTH(G687),"Jan","Feb","Mar","Apr","May","Jun","Jul","Aug","Sep","Oct","Nov","Dec")</f>
        <v>Nov</v>
      </c>
      <c r="I687" s="54">
        <f ca="1">DATEDIF(G687,TODAY(),"Y")</f>
        <v>7</v>
      </c>
      <c r="J687" s="55" t="s">
        <v>257</v>
      </c>
      <c r="K687" s="56">
        <v>39515</v>
      </c>
      <c r="L687" s="57">
        <v>5</v>
      </c>
      <c r="M687" s="62">
        <f>ROUND(K687*P685+K687,0)</f>
        <v>39515</v>
      </c>
    </row>
    <row r="688" spans="1:15" x14ac:dyDescent="0.25">
      <c r="A688" s="48" t="s">
        <v>278</v>
      </c>
      <c r="B688" s="49" t="s">
        <v>245</v>
      </c>
      <c r="C688" s="48" t="s">
        <v>272</v>
      </c>
      <c r="D688" s="109">
        <v>771277493</v>
      </c>
      <c r="E688" s="109">
        <v>2522872439</v>
      </c>
      <c r="F688" s="48" t="s">
        <v>252</v>
      </c>
      <c r="G688" s="108">
        <f>39580+(364+182)</f>
        <v>40126</v>
      </c>
      <c r="H688" s="53" t="str">
        <f>CHOOSE(MONTH(G688),"Jan","Feb","Mar","Apr","May","Jun","Jul","Aug","Sep","Oct","Nov","Dec")</f>
        <v>Nov</v>
      </c>
      <c r="I688" s="54">
        <f ca="1">DATEDIF(G688,TODAY(),"Y")</f>
        <v>7</v>
      </c>
      <c r="J688" s="55"/>
      <c r="K688" s="56">
        <v>10636</v>
      </c>
      <c r="L688" s="57">
        <v>4</v>
      </c>
      <c r="M688" s="62">
        <f>ROUND(K688*P686+K688,0)</f>
        <v>10636</v>
      </c>
      <c r="O688" s="107"/>
    </row>
    <row r="689" spans="1:15" x14ac:dyDescent="0.25">
      <c r="A689" s="42" t="s">
        <v>816</v>
      </c>
      <c r="B689" s="49" t="s">
        <v>271</v>
      </c>
      <c r="C689" s="42" t="s">
        <v>767</v>
      </c>
      <c r="D689" s="105">
        <v>959750235</v>
      </c>
      <c r="E689" s="105">
        <v>2528488350</v>
      </c>
      <c r="F689" s="42" t="s">
        <v>256</v>
      </c>
      <c r="G689" s="84">
        <f>39591+(364+182)</f>
        <v>40137</v>
      </c>
      <c r="H689" s="53" t="str">
        <f>CHOOSE(MONTH(G689),"Jan","Feb","Mar","Apr","May","Jun","Jul","Aug","Sep","Oct","Nov","Dec")</f>
        <v>Nov</v>
      </c>
      <c r="I689" s="54">
        <f ca="1">DATEDIF(G689,TODAY(),"Y")</f>
        <v>6</v>
      </c>
      <c r="J689" s="55" t="s">
        <v>257</v>
      </c>
      <c r="K689" s="56">
        <v>54190</v>
      </c>
      <c r="L689" s="57">
        <v>4</v>
      </c>
      <c r="M689" s="62">
        <f>ROUND(K689*P687+K689,0)</f>
        <v>54190</v>
      </c>
    </row>
    <row r="690" spans="1:15" x14ac:dyDescent="0.25">
      <c r="A690" s="42" t="s">
        <v>320</v>
      </c>
      <c r="B690" s="49" t="s">
        <v>271</v>
      </c>
      <c r="C690" s="42" t="s">
        <v>312</v>
      </c>
      <c r="D690" s="105">
        <v>242099349</v>
      </c>
      <c r="E690" s="105">
        <v>2526576057</v>
      </c>
      <c r="F690" s="42" t="s">
        <v>256</v>
      </c>
      <c r="G690" s="84">
        <f>39955+(364+182)</f>
        <v>40501</v>
      </c>
      <c r="H690" s="53" t="str">
        <f>CHOOSE(MONTH(G690),"Jan","Feb","Mar","Apr","May","Jun","Jul","Aug","Sep","Oct","Nov","Dec")</f>
        <v>Nov</v>
      </c>
      <c r="I690" s="54">
        <f ca="1">DATEDIF(G690,TODAY(),"Y")</f>
        <v>5</v>
      </c>
      <c r="J690" s="55" t="s">
        <v>267</v>
      </c>
      <c r="K690" s="56">
        <v>77820</v>
      </c>
      <c r="L690" s="57">
        <v>3</v>
      </c>
      <c r="M690" s="62">
        <f>ROUND(K690*P688+K690,0)</f>
        <v>77820</v>
      </c>
    </row>
    <row r="691" spans="1:15" x14ac:dyDescent="0.25">
      <c r="A691" s="42" t="s">
        <v>371</v>
      </c>
      <c r="B691" s="49" t="s">
        <v>251</v>
      </c>
      <c r="C691" s="42" t="s">
        <v>372</v>
      </c>
      <c r="D691" s="105">
        <v>640301378</v>
      </c>
      <c r="E691" s="105">
        <v>2524663056</v>
      </c>
      <c r="F691" s="42" t="s">
        <v>261</v>
      </c>
      <c r="G691" s="106">
        <f>39959+(364+182)</f>
        <v>40505</v>
      </c>
      <c r="H691" s="53" t="str">
        <f>CHOOSE(MONTH(G691),"Jan","Feb","Mar","Apr","May","Jun","Jul","Aug","Sep","Oct","Nov","Dec")</f>
        <v>Nov</v>
      </c>
      <c r="I691" s="54">
        <f ca="1">DATEDIF(G691,TODAY(),"Y")</f>
        <v>5</v>
      </c>
      <c r="J691" s="55" t="s">
        <v>283</v>
      </c>
      <c r="K691" s="56">
        <v>46230</v>
      </c>
      <c r="L691" s="57">
        <v>2</v>
      </c>
      <c r="M691" s="62">
        <f>ROUND(K691*P689+K691,0)</f>
        <v>46230</v>
      </c>
      <c r="O691" s="104"/>
    </row>
    <row r="692" spans="1:15" x14ac:dyDescent="0.25">
      <c r="A692" s="42" t="s">
        <v>889</v>
      </c>
      <c r="B692" s="49" t="s">
        <v>285</v>
      </c>
      <c r="C692" s="42" t="s">
        <v>856</v>
      </c>
      <c r="D692" s="105">
        <v>693055639</v>
      </c>
      <c r="E692" s="105">
        <v>9195866887</v>
      </c>
      <c r="F692" s="42" t="s">
        <v>256</v>
      </c>
      <c r="G692" s="84">
        <f>32676+(364+182)</f>
        <v>33222</v>
      </c>
      <c r="H692" s="53" t="str">
        <f>CHOOSE(MONTH(G692),"Jan","Feb","Mar","Apr","May","Jun","Jul","Aug","Sep","Oct","Nov","Dec")</f>
        <v>Dec</v>
      </c>
      <c r="I692" s="54">
        <f ca="1">DATEDIF(G692,TODAY(),"Y")</f>
        <v>25</v>
      </c>
      <c r="J692" s="55" t="s">
        <v>257</v>
      </c>
      <c r="K692" s="56">
        <v>53900</v>
      </c>
      <c r="L692" s="57">
        <v>5</v>
      </c>
      <c r="M692" s="62">
        <f>ROUND(K692*P690+K692,0)</f>
        <v>53900</v>
      </c>
    </row>
    <row r="693" spans="1:15" x14ac:dyDescent="0.25">
      <c r="A693" s="42" t="s">
        <v>659</v>
      </c>
      <c r="B693" s="49" t="s">
        <v>245</v>
      </c>
      <c r="C693" s="42" t="s">
        <v>626</v>
      </c>
      <c r="D693" s="105">
        <v>738946277</v>
      </c>
      <c r="E693" s="105">
        <v>9194331646</v>
      </c>
      <c r="F693" s="42" t="s">
        <v>256</v>
      </c>
      <c r="G693" s="84">
        <f>32677+(364+182)</f>
        <v>33223</v>
      </c>
      <c r="H693" s="53" t="str">
        <f>CHOOSE(MONTH(G693),"Jan","Feb","Mar","Apr","May","Jun","Jul","Aug","Sep","Oct","Nov","Dec")</f>
        <v>Dec</v>
      </c>
      <c r="I693" s="54">
        <f ca="1">DATEDIF(G693,TODAY(),"Y")</f>
        <v>25</v>
      </c>
      <c r="J693" s="55" t="s">
        <v>262</v>
      </c>
      <c r="K693" s="56">
        <v>31260</v>
      </c>
      <c r="L693" s="57">
        <v>5</v>
      </c>
      <c r="M693" s="62">
        <f>ROUND(K693*P691+K693,0)</f>
        <v>31260</v>
      </c>
    </row>
    <row r="694" spans="1:15" x14ac:dyDescent="0.25">
      <c r="A694" s="42" t="s">
        <v>324</v>
      </c>
      <c r="B694" s="49" t="s">
        <v>271</v>
      </c>
      <c r="C694" s="42" t="s">
        <v>312</v>
      </c>
      <c r="D694" s="105">
        <v>513140687</v>
      </c>
      <c r="E694" s="105">
        <v>9192163497</v>
      </c>
      <c r="F694" s="42" t="s">
        <v>247</v>
      </c>
      <c r="G694" s="84">
        <f>32682+(364+182)</f>
        <v>33228</v>
      </c>
      <c r="H694" s="53" t="str">
        <f>CHOOSE(MONTH(G694),"Jan","Feb","Mar","Apr","May","Jun","Jul","Aug","Sep","Oct","Nov","Dec")</f>
        <v>Dec</v>
      </c>
      <c r="I694" s="54">
        <f ca="1">DATEDIF(G694,TODAY(),"Y")</f>
        <v>25</v>
      </c>
      <c r="J694" s="55"/>
      <c r="K694" s="56">
        <v>42940</v>
      </c>
      <c r="L694" s="57">
        <v>1</v>
      </c>
      <c r="M694" s="62">
        <f>ROUND(K694*P692+K694,0)</f>
        <v>42940</v>
      </c>
    </row>
    <row r="695" spans="1:15" x14ac:dyDescent="0.25">
      <c r="A695" s="42" t="s">
        <v>801</v>
      </c>
      <c r="B695" s="49" t="s">
        <v>271</v>
      </c>
      <c r="C695" s="42" t="s">
        <v>767</v>
      </c>
      <c r="D695" s="105">
        <v>554029540</v>
      </c>
      <c r="E695" s="105">
        <v>2521544288</v>
      </c>
      <c r="F695" s="42" t="s">
        <v>247</v>
      </c>
      <c r="G695" s="84">
        <f>32688+(364+182)</f>
        <v>33234</v>
      </c>
      <c r="H695" s="53" t="str">
        <f>CHOOSE(MONTH(G695),"Jan","Feb","Mar","Apr","May","Jun","Jul","Aug","Sep","Oct","Nov","Dec")</f>
        <v>Dec</v>
      </c>
      <c r="I695" s="54">
        <f ca="1">DATEDIF(G695,TODAY(),"Y")</f>
        <v>25</v>
      </c>
      <c r="J695" s="55"/>
      <c r="K695" s="56">
        <v>58650</v>
      </c>
      <c r="L695" s="57">
        <v>4</v>
      </c>
      <c r="M695" s="62">
        <f>ROUND(K695*P693+K695,0)</f>
        <v>58650</v>
      </c>
    </row>
    <row r="696" spans="1:15" x14ac:dyDescent="0.25">
      <c r="A696" s="42" t="s">
        <v>854</v>
      </c>
      <c r="B696" s="49" t="s">
        <v>285</v>
      </c>
      <c r="C696" s="42" t="s">
        <v>767</v>
      </c>
      <c r="D696" s="105">
        <v>828395582</v>
      </c>
      <c r="E696" s="105">
        <v>9198591986</v>
      </c>
      <c r="F696" s="42" t="s">
        <v>256</v>
      </c>
      <c r="G696" s="84">
        <f>33027+(364+182)</f>
        <v>33573</v>
      </c>
      <c r="H696" s="53" t="str">
        <f>CHOOSE(MONTH(G696),"Jan","Feb","Mar","Apr","May","Jun","Jul","Aug","Sep","Oct","Nov","Dec")</f>
        <v>Dec</v>
      </c>
      <c r="I696" s="54">
        <f ca="1">DATEDIF(G696,TODAY(),"Y")</f>
        <v>24</v>
      </c>
      <c r="J696" s="55" t="s">
        <v>276</v>
      </c>
      <c r="K696" s="56">
        <v>71680</v>
      </c>
      <c r="L696" s="57">
        <v>4</v>
      </c>
      <c r="M696" s="62">
        <f>ROUND(K696*P694+K696,0)</f>
        <v>71680</v>
      </c>
    </row>
    <row r="697" spans="1:15" x14ac:dyDescent="0.25">
      <c r="A697" s="42" t="s">
        <v>327</v>
      </c>
      <c r="B697" s="49" t="s">
        <v>271</v>
      </c>
      <c r="C697" s="42" t="s">
        <v>312</v>
      </c>
      <c r="D697" s="105">
        <v>459522265</v>
      </c>
      <c r="E697" s="105">
        <v>2524633649</v>
      </c>
      <c r="F697" s="42" t="s">
        <v>256</v>
      </c>
      <c r="G697" s="84">
        <f>33029+(364+182)</f>
        <v>33575</v>
      </c>
      <c r="H697" s="53" t="str">
        <f>CHOOSE(MONTH(G697),"Jan","Feb","Mar","Apr","May","Jun","Jul","Aug","Sep","Oct","Nov","Dec")</f>
        <v>Dec</v>
      </c>
      <c r="I697" s="54">
        <f ca="1">DATEDIF(G697,TODAY(),"Y")</f>
        <v>24</v>
      </c>
      <c r="J697" s="55" t="s">
        <v>262</v>
      </c>
      <c r="K697" s="56">
        <v>61400</v>
      </c>
      <c r="L697" s="57">
        <v>5</v>
      </c>
      <c r="M697" s="62">
        <f>ROUND(K697*P695+K697,0)</f>
        <v>61400</v>
      </c>
    </row>
    <row r="698" spans="1:15" x14ac:dyDescent="0.25">
      <c r="A698" s="42" t="s">
        <v>747</v>
      </c>
      <c r="B698" s="49" t="s">
        <v>271</v>
      </c>
      <c r="C698" s="42" t="s">
        <v>705</v>
      </c>
      <c r="D698" s="105">
        <v>617795992</v>
      </c>
      <c r="E698" s="105">
        <v>2526345909</v>
      </c>
      <c r="F698" s="42" t="s">
        <v>256</v>
      </c>
      <c r="G698" s="84">
        <f>33032+(364+182)</f>
        <v>33578</v>
      </c>
      <c r="H698" s="53" t="str">
        <f>CHOOSE(MONTH(G698),"Jan","Feb","Mar","Apr","May","Jun","Jul","Aug","Sep","Oct","Nov","Dec")</f>
        <v>Dec</v>
      </c>
      <c r="I698" s="54">
        <f ca="1">DATEDIF(G698,TODAY(),"Y")</f>
        <v>24</v>
      </c>
      <c r="J698" s="55" t="s">
        <v>257</v>
      </c>
      <c r="K698" s="56">
        <v>43580</v>
      </c>
      <c r="L698" s="57">
        <v>5</v>
      </c>
      <c r="M698" s="62">
        <f>ROUND(K698*P696+K698,0)</f>
        <v>43580</v>
      </c>
    </row>
    <row r="699" spans="1:15" x14ac:dyDescent="0.25">
      <c r="A699" s="42" t="s">
        <v>794</v>
      </c>
      <c r="B699" s="49" t="s">
        <v>245</v>
      </c>
      <c r="C699" s="42" t="s">
        <v>767</v>
      </c>
      <c r="D699" s="105">
        <v>452255054</v>
      </c>
      <c r="E699" s="105">
        <v>9196114005</v>
      </c>
      <c r="F699" s="42" t="s">
        <v>247</v>
      </c>
      <c r="G699" s="84">
        <f>33032+(364+182)</f>
        <v>33578</v>
      </c>
      <c r="H699" s="53" t="str">
        <f>CHOOSE(MONTH(G699),"Jan","Feb","Mar","Apr","May","Jun","Jul","Aug","Sep","Oct","Nov","Dec")</f>
        <v>Dec</v>
      </c>
      <c r="I699" s="54">
        <f ca="1">DATEDIF(G699,TODAY(),"Y")</f>
        <v>24</v>
      </c>
      <c r="J699" s="55"/>
      <c r="K699" s="56">
        <v>50840</v>
      </c>
      <c r="L699" s="57">
        <v>4</v>
      </c>
      <c r="M699" s="62">
        <f>ROUND(K699*P697+K699,0)</f>
        <v>50840</v>
      </c>
    </row>
    <row r="700" spans="1:15" x14ac:dyDescent="0.25">
      <c r="A700" s="42" t="s">
        <v>758</v>
      </c>
      <c r="B700" s="49" t="s">
        <v>245</v>
      </c>
      <c r="C700" s="42" t="s">
        <v>750</v>
      </c>
      <c r="D700" s="105">
        <v>360904659</v>
      </c>
      <c r="E700" s="105">
        <v>2523766803</v>
      </c>
      <c r="F700" s="42" t="s">
        <v>256</v>
      </c>
      <c r="G700" s="84">
        <f>33042+(364+182)</f>
        <v>33588</v>
      </c>
      <c r="H700" s="53" t="str">
        <f>CHOOSE(MONTH(G700),"Jan","Feb","Mar","Apr","May","Jun","Jul","Aug","Sep","Oct","Nov","Dec")</f>
        <v>Dec</v>
      </c>
      <c r="I700" s="54">
        <f ca="1">DATEDIF(G700,TODAY(),"Y")</f>
        <v>24</v>
      </c>
      <c r="J700" s="55" t="s">
        <v>283</v>
      </c>
      <c r="K700" s="56">
        <v>44620</v>
      </c>
      <c r="L700" s="57">
        <v>5</v>
      </c>
      <c r="M700" s="62">
        <f>ROUND(K700*P698+K700,0)</f>
        <v>44620</v>
      </c>
    </row>
    <row r="701" spans="1:15" x14ac:dyDescent="0.25">
      <c r="A701" s="42" t="s">
        <v>442</v>
      </c>
      <c r="B701" s="49" t="s">
        <v>271</v>
      </c>
      <c r="C701" s="42" t="s">
        <v>417</v>
      </c>
      <c r="D701" s="105">
        <v>249760737</v>
      </c>
      <c r="E701" s="105">
        <v>2522969056</v>
      </c>
      <c r="F701" s="42" t="s">
        <v>247</v>
      </c>
      <c r="G701" s="84">
        <f>33403+(364+182)</f>
        <v>33949</v>
      </c>
      <c r="H701" s="53" t="str">
        <f>CHOOSE(MONTH(G701),"Jan","Feb","Mar","Apr","May","Jun","Jul","Aug","Sep","Oct","Nov","Dec")</f>
        <v>Dec</v>
      </c>
      <c r="I701" s="54">
        <f ca="1">DATEDIF(G701,TODAY(),"Y")</f>
        <v>23</v>
      </c>
      <c r="J701" s="55"/>
      <c r="K701" s="56">
        <v>81070</v>
      </c>
      <c r="L701" s="57">
        <v>5</v>
      </c>
      <c r="M701" s="62">
        <f>ROUND(K701*P699+K701,0)</f>
        <v>81070</v>
      </c>
    </row>
    <row r="702" spans="1:15" x14ac:dyDescent="0.25">
      <c r="A702" s="42" t="s">
        <v>839</v>
      </c>
      <c r="B702" s="49" t="s">
        <v>271</v>
      </c>
      <c r="C702" s="42" t="s">
        <v>767</v>
      </c>
      <c r="D702" s="105">
        <v>638495756</v>
      </c>
      <c r="E702" s="105">
        <v>2528922252</v>
      </c>
      <c r="F702" s="42" t="s">
        <v>247</v>
      </c>
      <c r="G702" s="84">
        <f>33403+(364+182)</f>
        <v>33949</v>
      </c>
      <c r="H702" s="53" t="str">
        <f>CHOOSE(MONTH(G702),"Jan","Feb","Mar","Apr","May","Jun","Jul","Aug","Sep","Oct","Nov","Dec")</f>
        <v>Dec</v>
      </c>
      <c r="I702" s="54">
        <f ca="1">DATEDIF(G702,TODAY(),"Y")</f>
        <v>23</v>
      </c>
      <c r="J702" s="55"/>
      <c r="K702" s="56">
        <v>44720</v>
      </c>
      <c r="L702" s="57">
        <v>2</v>
      </c>
      <c r="M702" s="62">
        <f>ROUND(K702*P700+K702,0)</f>
        <v>44720</v>
      </c>
    </row>
    <row r="703" spans="1:15" x14ac:dyDescent="0.25">
      <c r="A703" s="42" t="s">
        <v>950</v>
      </c>
      <c r="B703" s="49" t="s">
        <v>271</v>
      </c>
      <c r="C703" s="42" t="s">
        <v>930</v>
      </c>
      <c r="D703" s="105">
        <v>595022550</v>
      </c>
      <c r="E703" s="105">
        <v>9195621928</v>
      </c>
      <c r="F703" s="42" t="s">
        <v>256</v>
      </c>
      <c r="G703" s="84">
        <f>33411+(364+182)</f>
        <v>33957</v>
      </c>
      <c r="H703" s="53" t="str">
        <f>CHOOSE(MONTH(G703),"Jan","Feb","Mar","Apr","May","Jun","Jul","Aug","Sep","Oct","Nov","Dec")</f>
        <v>Dec</v>
      </c>
      <c r="I703" s="54">
        <f ca="1">DATEDIF(G703,TODAY(),"Y")</f>
        <v>23</v>
      </c>
      <c r="J703" s="55" t="s">
        <v>262</v>
      </c>
      <c r="K703" s="56">
        <v>59490</v>
      </c>
      <c r="L703" s="57">
        <v>3</v>
      </c>
      <c r="M703" s="62">
        <f>ROUND(K703*P701+K703,0)</f>
        <v>59490</v>
      </c>
    </row>
    <row r="704" spans="1:15" x14ac:dyDescent="0.25">
      <c r="A704" s="42" t="s">
        <v>976</v>
      </c>
      <c r="B704" s="49" t="s">
        <v>271</v>
      </c>
      <c r="C704" s="42" t="s">
        <v>930</v>
      </c>
      <c r="D704" s="105">
        <v>855663308</v>
      </c>
      <c r="E704" s="105">
        <v>9195797109</v>
      </c>
      <c r="F704" s="42" t="s">
        <v>256</v>
      </c>
      <c r="G704" s="84">
        <f>34124+(364+182)</f>
        <v>34670</v>
      </c>
      <c r="H704" s="53" t="str">
        <f>CHOOSE(MONTH(G704),"Jan","Feb","Mar","Apr","May","Jun","Jul","Aug","Sep","Oct","Nov","Dec")</f>
        <v>Dec</v>
      </c>
      <c r="I704" s="54">
        <f ca="1">DATEDIF(G704,TODAY(),"Y")</f>
        <v>21</v>
      </c>
      <c r="J704" s="55" t="s">
        <v>257</v>
      </c>
      <c r="K704" s="56">
        <v>69510</v>
      </c>
      <c r="L704" s="57">
        <v>5</v>
      </c>
      <c r="M704" s="62">
        <f>ROUND(K704*P702+K704,0)</f>
        <v>69510</v>
      </c>
    </row>
    <row r="705" spans="1:15" x14ac:dyDescent="0.25">
      <c r="A705" s="42" t="s">
        <v>488</v>
      </c>
      <c r="B705" s="49" t="s">
        <v>266</v>
      </c>
      <c r="C705" s="42" t="s">
        <v>465</v>
      </c>
      <c r="D705" s="105">
        <v>165917010</v>
      </c>
      <c r="E705" s="105">
        <v>2527038033</v>
      </c>
      <c r="F705" s="42" t="s">
        <v>247</v>
      </c>
      <c r="G705" s="84">
        <f>34125+(364+182)</f>
        <v>34671</v>
      </c>
      <c r="H705" s="53" t="str">
        <f>CHOOSE(MONTH(G705),"Jan","Feb","Mar","Apr","May","Jun","Jul","Aug","Sep","Oct","Nov","Dec")</f>
        <v>Dec</v>
      </c>
      <c r="I705" s="54">
        <f ca="1">DATEDIF(G705,TODAY(),"Y")</f>
        <v>21</v>
      </c>
      <c r="J705" s="55"/>
      <c r="K705" s="56">
        <v>80690</v>
      </c>
      <c r="L705" s="57">
        <v>3</v>
      </c>
      <c r="M705" s="62">
        <f>ROUND(K705*P703+K705,0)</f>
        <v>80690</v>
      </c>
    </row>
    <row r="706" spans="1:15" x14ac:dyDescent="0.25">
      <c r="A706" s="42" t="s">
        <v>844</v>
      </c>
      <c r="B706" s="49" t="s">
        <v>280</v>
      </c>
      <c r="C706" s="42" t="s">
        <v>767</v>
      </c>
      <c r="D706" s="105">
        <v>422463024</v>
      </c>
      <c r="E706" s="105">
        <v>9193876146</v>
      </c>
      <c r="F706" s="42" t="s">
        <v>256</v>
      </c>
      <c r="G706" s="84">
        <f>34147+(364+182)</f>
        <v>34693</v>
      </c>
      <c r="H706" s="53" t="str">
        <f>CHOOSE(MONTH(G706),"Jan","Feb","Mar","Apr","May","Jun","Jul","Aug","Sep","Oct","Nov","Dec")</f>
        <v>Dec</v>
      </c>
      <c r="I706" s="54">
        <f ca="1">DATEDIF(G706,TODAY(),"Y")</f>
        <v>21</v>
      </c>
      <c r="J706" s="55" t="s">
        <v>262</v>
      </c>
      <c r="K706" s="56">
        <v>88820</v>
      </c>
      <c r="L706" s="57">
        <v>2</v>
      </c>
      <c r="M706" s="62">
        <f>ROUND(K706*P704+K706,0)</f>
        <v>88820</v>
      </c>
    </row>
    <row r="707" spans="1:15" x14ac:dyDescent="0.25">
      <c r="A707" s="42" t="s">
        <v>887</v>
      </c>
      <c r="B707" s="49" t="s">
        <v>266</v>
      </c>
      <c r="C707" s="42" t="s">
        <v>856</v>
      </c>
      <c r="D707" s="105">
        <v>687623890</v>
      </c>
      <c r="E707" s="105">
        <v>2522447501</v>
      </c>
      <c r="F707" s="42" t="s">
        <v>252</v>
      </c>
      <c r="G707" s="84">
        <f>34488+(364+182)</f>
        <v>35034</v>
      </c>
      <c r="H707" s="53" t="str">
        <f>CHOOSE(MONTH(G707),"Jan","Feb","Mar","Apr","May","Jun","Jul","Aug","Sep","Oct","Nov","Dec")</f>
        <v>Dec</v>
      </c>
      <c r="I707" s="54">
        <f ca="1">DATEDIF(G707,TODAY(),"Y")</f>
        <v>20</v>
      </c>
      <c r="J707" s="55"/>
      <c r="K707" s="56">
        <v>23692</v>
      </c>
      <c r="L707" s="57">
        <v>4</v>
      </c>
      <c r="M707" s="62">
        <f>ROUND(K707*P705+K707,0)</f>
        <v>23692</v>
      </c>
    </row>
    <row r="708" spans="1:15" x14ac:dyDescent="0.25">
      <c r="A708" s="42" t="s">
        <v>1016</v>
      </c>
      <c r="B708" s="49" t="s">
        <v>285</v>
      </c>
      <c r="C708" s="42" t="s">
        <v>930</v>
      </c>
      <c r="D708" s="105">
        <v>992674973</v>
      </c>
      <c r="E708" s="105">
        <v>2526088101</v>
      </c>
      <c r="F708" s="42" t="s">
        <v>256</v>
      </c>
      <c r="G708" s="84">
        <f>34506+(364+182)</f>
        <v>35052</v>
      </c>
      <c r="H708" s="53" t="str">
        <f>CHOOSE(MONTH(G708),"Jan","Feb","Mar","Apr","May","Jun","Jul","Aug","Sep","Oct","Nov","Dec")</f>
        <v>Dec</v>
      </c>
      <c r="I708" s="54">
        <f ca="1">DATEDIF(G708,TODAY(),"Y")</f>
        <v>20</v>
      </c>
      <c r="J708" s="55" t="s">
        <v>267</v>
      </c>
      <c r="K708" s="56">
        <v>64780</v>
      </c>
      <c r="L708" s="57">
        <v>5</v>
      </c>
      <c r="M708" s="62">
        <f>ROUND(K708*P706+K708,0)</f>
        <v>64780</v>
      </c>
    </row>
    <row r="709" spans="1:15" x14ac:dyDescent="0.25">
      <c r="A709" s="42" t="s">
        <v>861</v>
      </c>
      <c r="B709" s="49" t="s">
        <v>271</v>
      </c>
      <c r="C709" s="42" t="s">
        <v>856</v>
      </c>
      <c r="D709" s="105">
        <v>412159105</v>
      </c>
      <c r="E709" s="105">
        <v>9198252392</v>
      </c>
      <c r="F709" s="42" t="s">
        <v>252</v>
      </c>
      <c r="G709" s="84">
        <f>34856+(364+182)</f>
        <v>35402</v>
      </c>
      <c r="H709" s="53" t="str">
        <f>CHOOSE(MONTH(G709),"Jan","Feb","Mar","Apr","May","Jun","Jul","Aug","Sep","Oct","Nov","Dec")</f>
        <v>Dec</v>
      </c>
      <c r="I709" s="54">
        <f ca="1">DATEDIF(G709,TODAY(),"Y")</f>
        <v>19</v>
      </c>
      <c r="J709" s="55"/>
      <c r="K709" s="56">
        <v>33508</v>
      </c>
      <c r="L709" s="57">
        <v>4</v>
      </c>
      <c r="M709" s="62">
        <f>ROUND(K709*P707+K709,0)</f>
        <v>33508</v>
      </c>
    </row>
    <row r="710" spans="1:15" x14ac:dyDescent="0.25">
      <c r="A710" s="42" t="s">
        <v>924</v>
      </c>
      <c r="B710" s="49" t="s">
        <v>285</v>
      </c>
      <c r="C710" s="42" t="s">
        <v>856</v>
      </c>
      <c r="D710" s="105">
        <v>984881714</v>
      </c>
      <c r="E710" s="105">
        <v>9196973131</v>
      </c>
      <c r="F710" s="42" t="s">
        <v>256</v>
      </c>
      <c r="G710" s="84">
        <f>34862+(364+182)</f>
        <v>35408</v>
      </c>
      <c r="H710" s="53" t="str">
        <f>CHOOSE(MONTH(G710),"Jan","Feb","Mar","Apr","May","Jun","Jul","Aug","Sep","Oct","Nov","Dec")</f>
        <v>Dec</v>
      </c>
      <c r="I710" s="54">
        <f ca="1">DATEDIF(G710,TODAY(),"Y")</f>
        <v>19</v>
      </c>
      <c r="J710" s="55" t="s">
        <v>283</v>
      </c>
      <c r="K710" s="56">
        <v>34330</v>
      </c>
      <c r="L710" s="57">
        <v>3</v>
      </c>
      <c r="M710" s="62">
        <f>ROUND(K710*P708+K710,0)</f>
        <v>34330</v>
      </c>
    </row>
    <row r="711" spans="1:15" x14ac:dyDescent="0.25">
      <c r="A711" s="42" t="s">
        <v>727</v>
      </c>
      <c r="B711" s="49" t="s">
        <v>271</v>
      </c>
      <c r="C711" s="42" t="s">
        <v>705</v>
      </c>
      <c r="D711" s="105">
        <v>803776506</v>
      </c>
      <c r="E711" s="105">
        <v>2526920236</v>
      </c>
      <c r="F711" s="42" t="s">
        <v>256</v>
      </c>
      <c r="G711" s="84">
        <f>34866+(364+182)</f>
        <v>35412</v>
      </c>
      <c r="H711" s="53" t="str">
        <f>CHOOSE(MONTH(G711),"Jan","Feb","Mar","Apr","May","Jun","Jul","Aug","Sep","Oct","Nov","Dec")</f>
        <v>Dec</v>
      </c>
      <c r="I711" s="54">
        <f ca="1">DATEDIF(G711,TODAY(),"Y")</f>
        <v>19</v>
      </c>
      <c r="J711" s="55" t="s">
        <v>262</v>
      </c>
      <c r="K711" s="56">
        <v>77950</v>
      </c>
      <c r="L711" s="57">
        <v>4</v>
      </c>
      <c r="M711" s="62">
        <f>ROUND(K711*P709+K711,0)</f>
        <v>77950</v>
      </c>
    </row>
    <row r="712" spans="1:15" x14ac:dyDescent="0.25">
      <c r="A712" s="42" t="s">
        <v>668</v>
      </c>
      <c r="B712" s="49" t="s">
        <v>271</v>
      </c>
      <c r="C712" s="42" t="s">
        <v>626</v>
      </c>
      <c r="D712" s="105">
        <v>626767704</v>
      </c>
      <c r="E712" s="105">
        <v>2526971022</v>
      </c>
      <c r="F712" s="42" t="s">
        <v>247</v>
      </c>
      <c r="G712" s="84">
        <f>35230+(364+182)</f>
        <v>35776</v>
      </c>
      <c r="H712" s="53" t="str">
        <f>CHOOSE(MONTH(G712),"Jan","Feb","Mar","Apr","May","Jun","Jul","Aug","Sep","Oct","Nov","Dec")</f>
        <v>Dec</v>
      </c>
      <c r="I712" s="54">
        <f ca="1">DATEDIF(G712,TODAY(),"Y")</f>
        <v>18</v>
      </c>
      <c r="J712" s="55"/>
      <c r="K712" s="56">
        <v>77930</v>
      </c>
      <c r="L712" s="57">
        <v>5</v>
      </c>
      <c r="M712" s="62">
        <f>ROUND(K712*P710+K712,0)</f>
        <v>77930</v>
      </c>
    </row>
    <row r="713" spans="1:15" x14ac:dyDescent="0.25">
      <c r="A713" s="42" t="s">
        <v>963</v>
      </c>
      <c r="B713" s="49" t="s">
        <v>266</v>
      </c>
      <c r="C713" s="42" t="s">
        <v>930</v>
      </c>
      <c r="D713" s="105">
        <v>941937371</v>
      </c>
      <c r="E713" s="105">
        <v>9195060466</v>
      </c>
      <c r="F713" s="42" t="s">
        <v>256</v>
      </c>
      <c r="G713" s="84">
        <f>35230+(364+182)</f>
        <v>35776</v>
      </c>
      <c r="H713" s="53" t="str">
        <f>CHOOSE(MONTH(G713),"Jan","Feb","Mar","Apr","May","Jun","Jul","Aug","Sep","Oct","Nov","Dec")</f>
        <v>Dec</v>
      </c>
      <c r="I713" s="54">
        <f ca="1">DATEDIF(G713,TODAY(),"Y")</f>
        <v>18</v>
      </c>
      <c r="J713" s="55" t="s">
        <v>257</v>
      </c>
      <c r="K713" s="56">
        <v>86320</v>
      </c>
      <c r="L713" s="57">
        <v>4</v>
      </c>
      <c r="M713" s="62">
        <f>ROUND(K713*P711+K713,0)</f>
        <v>86320</v>
      </c>
    </row>
    <row r="714" spans="1:15" x14ac:dyDescent="0.25">
      <c r="A714" s="42" t="s">
        <v>789</v>
      </c>
      <c r="B714" s="49" t="s">
        <v>251</v>
      </c>
      <c r="C714" s="42" t="s">
        <v>767</v>
      </c>
      <c r="D714" s="105">
        <v>265323292</v>
      </c>
      <c r="E714" s="105">
        <v>2522939413</v>
      </c>
      <c r="F714" s="42" t="s">
        <v>256</v>
      </c>
      <c r="G714" s="84">
        <f>35590+(364+182)</f>
        <v>36136</v>
      </c>
      <c r="H714" s="53" t="str">
        <f>CHOOSE(MONTH(G714),"Jan","Feb","Mar","Apr","May","Jun","Jul","Aug","Sep","Oct","Nov","Dec")</f>
        <v>Dec</v>
      </c>
      <c r="I714" s="54">
        <f ca="1">DATEDIF(G714,TODAY(),"Y")</f>
        <v>17</v>
      </c>
      <c r="J714" s="55" t="s">
        <v>283</v>
      </c>
      <c r="K714" s="56">
        <v>45000</v>
      </c>
      <c r="L714" s="57">
        <v>4</v>
      </c>
      <c r="M714" s="62">
        <f>ROUND(K714*P712+K714,0)</f>
        <v>45000</v>
      </c>
    </row>
    <row r="715" spans="1:15" x14ac:dyDescent="0.25">
      <c r="A715" s="42" t="s">
        <v>294</v>
      </c>
      <c r="B715" s="49" t="s">
        <v>251</v>
      </c>
      <c r="C715" s="42" t="s">
        <v>272</v>
      </c>
      <c r="D715" s="105">
        <v>481336564</v>
      </c>
      <c r="E715" s="105">
        <v>9196479087</v>
      </c>
      <c r="F715" s="42" t="s">
        <v>256</v>
      </c>
      <c r="G715" s="84">
        <f>35597+(364+182)</f>
        <v>36143</v>
      </c>
      <c r="H715" s="53" t="str">
        <f>CHOOSE(MONTH(G715),"Jan","Feb","Mar","Apr","May","Jun","Jul","Aug","Sep","Oct","Nov","Dec")</f>
        <v>Dec</v>
      </c>
      <c r="I715" s="54">
        <f ca="1">DATEDIF(G715,TODAY(),"Y")</f>
        <v>17</v>
      </c>
      <c r="J715" s="55" t="s">
        <v>283</v>
      </c>
      <c r="K715" s="56">
        <v>72090</v>
      </c>
      <c r="L715" s="57">
        <v>5</v>
      </c>
      <c r="M715" s="62">
        <f>ROUND(K715*P713+K715,0)</f>
        <v>72090</v>
      </c>
    </row>
    <row r="716" spans="1:15" x14ac:dyDescent="0.25">
      <c r="A716" s="42" t="s">
        <v>521</v>
      </c>
      <c r="B716" s="49" t="s">
        <v>271</v>
      </c>
      <c r="C716" s="42" t="s">
        <v>465</v>
      </c>
      <c r="D716" s="105">
        <v>698869555</v>
      </c>
      <c r="E716" s="105">
        <v>2526052545</v>
      </c>
      <c r="F716" s="42" t="s">
        <v>261</v>
      </c>
      <c r="G716" s="84">
        <f>35957+(364+182)</f>
        <v>36503</v>
      </c>
      <c r="H716" s="53" t="str">
        <f>CHOOSE(MONTH(G716),"Jan","Feb","Mar","Apr","May","Jun","Jul","Aug","Sep","Oct","Nov","Dec")</f>
        <v>Dec</v>
      </c>
      <c r="I716" s="54">
        <f ca="1">DATEDIF(G716,TODAY(),"Y")</f>
        <v>16</v>
      </c>
      <c r="J716" s="55" t="s">
        <v>267</v>
      </c>
      <c r="K716" s="56">
        <v>41615</v>
      </c>
      <c r="L716" s="57">
        <v>1</v>
      </c>
      <c r="M716" s="62">
        <f>ROUND(K716*P714+K716,0)</f>
        <v>41615</v>
      </c>
    </row>
    <row r="717" spans="1:15" x14ac:dyDescent="0.25">
      <c r="A717" s="42" t="s">
        <v>316</v>
      </c>
      <c r="B717" s="49" t="s">
        <v>285</v>
      </c>
      <c r="C717" s="42" t="s">
        <v>312</v>
      </c>
      <c r="D717" s="105">
        <v>334574480</v>
      </c>
      <c r="E717" s="105">
        <v>2525165289</v>
      </c>
      <c r="F717" s="42" t="s">
        <v>256</v>
      </c>
      <c r="G717" s="84">
        <f>35960+(364+182)</f>
        <v>36506</v>
      </c>
      <c r="H717" s="53" t="str">
        <f>CHOOSE(MONTH(G717),"Jan","Feb","Mar","Apr","May","Jun","Jul","Aug","Sep","Oct","Nov","Dec")</f>
        <v>Dec</v>
      </c>
      <c r="I717" s="54">
        <f ca="1">DATEDIF(G717,TODAY(),"Y")</f>
        <v>16</v>
      </c>
      <c r="J717" s="55" t="s">
        <v>283</v>
      </c>
      <c r="K717" s="56">
        <v>32100</v>
      </c>
      <c r="L717" s="57">
        <v>1</v>
      </c>
      <c r="M717" s="62">
        <f>ROUND(K717*P715+K717,0)</f>
        <v>32100</v>
      </c>
      <c r="O717" s="104"/>
    </row>
    <row r="718" spans="1:15" x14ac:dyDescent="0.25">
      <c r="A718" s="42" t="s">
        <v>862</v>
      </c>
      <c r="B718" s="49" t="s">
        <v>266</v>
      </c>
      <c r="C718" s="42" t="s">
        <v>856</v>
      </c>
      <c r="D718" s="105">
        <v>889210902</v>
      </c>
      <c r="E718" s="105">
        <v>2527422559</v>
      </c>
      <c r="F718" s="42" t="s">
        <v>256</v>
      </c>
      <c r="G718" s="84">
        <f>35968+(364+182)</f>
        <v>36514</v>
      </c>
      <c r="H718" s="53" t="str">
        <f>CHOOSE(MONTH(G718),"Jan","Feb","Mar","Apr","May","Jun","Jul","Aug","Sep","Oct","Nov","Dec")</f>
        <v>Dec</v>
      </c>
      <c r="I718" s="54">
        <f ca="1">DATEDIF(G718,TODAY(),"Y")</f>
        <v>16</v>
      </c>
      <c r="J718" s="55" t="s">
        <v>283</v>
      </c>
      <c r="K718" s="56">
        <v>48250</v>
      </c>
      <c r="L718" s="57">
        <v>3</v>
      </c>
      <c r="M718" s="62">
        <f>ROUND(K718*P716+K718,0)</f>
        <v>48250</v>
      </c>
    </row>
    <row r="719" spans="1:15" x14ac:dyDescent="0.25">
      <c r="A719" s="42" t="s">
        <v>457</v>
      </c>
      <c r="B719" s="49" t="s">
        <v>271</v>
      </c>
      <c r="C719" s="42" t="s">
        <v>456</v>
      </c>
      <c r="D719" s="105">
        <v>351268538</v>
      </c>
      <c r="E719" s="105">
        <v>2525610944</v>
      </c>
      <c r="F719" s="42" t="s">
        <v>252</v>
      </c>
      <c r="G719" s="84">
        <f>35973+(364+182)</f>
        <v>36519</v>
      </c>
      <c r="H719" s="53" t="str">
        <f>CHOOSE(MONTH(G719),"Jan","Feb","Mar","Apr","May","Jun","Jul","Aug","Sep","Oct","Nov","Dec")</f>
        <v>Dec</v>
      </c>
      <c r="I719" s="54">
        <f ca="1">DATEDIF(G719,TODAY(),"Y")</f>
        <v>16</v>
      </c>
      <c r="J719" s="55" t="s">
        <v>283</v>
      </c>
      <c r="K719" s="56">
        <v>61860</v>
      </c>
      <c r="L719" s="57">
        <v>5</v>
      </c>
      <c r="M719" s="62">
        <f>ROUND(K719*P717+K719,0)</f>
        <v>61860</v>
      </c>
    </row>
    <row r="720" spans="1:15" x14ac:dyDescent="0.25">
      <c r="A720" s="42" t="s">
        <v>558</v>
      </c>
      <c r="B720" s="49" t="s">
        <v>280</v>
      </c>
      <c r="C720" s="42" t="s">
        <v>465</v>
      </c>
      <c r="D720" s="105">
        <v>312019803</v>
      </c>
      <c r="E720" s="105">
        <v>9197961953</v>
      </c>
      <c r="F720" s="42" t="s">
        <v>256</v>
      </c>
      <c r="G720" s="84">
        <f>36683+(364+182)</f>
        <v>37229</v>
      </c>
      <c r="H720" s="53" t="str">
        <f>CHOOSE(MONTH(G720),"Jan","Feb","Mar","Apr","May","Jun","Jul","Aug","Sep","Oct","Nov","Dec")</f>
        <v>Dec</v>
      </c>
      <c r="I720" s="54">
        <f ca="1">DATEDIF(G720,TODAY(),"Y")</f>
        <v>14</v>
      </c>
      <c r="J720" s="55" t="s">
        <v>283</v>
      </c>
      <c r="K720" s="56">
        <v>25310</v>
      </c>
      <c r="L720" s="57">
        <v>4</v>
      </c>
      <c r="M720" s="62">
        <f>ROUND(K720*P718+K720,0)</f>
        <v>25310</v>
      </c>
    </row>
    <row r="721" spans="1:15" x14ac:dyDescent="0.25">
      <c r="A721" s="42" t="s">
        <v>693</v>
      </c>
      <c r="B721" s="49" t="s">
        <v>245</v>
      </c>
      <c r="C721" s="42" t="s">
        <v>678</v>
      </c>
      <c r="D721" s="105">
        <v>261486180</v>
      </c>
      <c r="E721" s="105">
        <v>2522523567</v>
      </c>
      <c r="F721" s="42" t="s">
        <v>247</v>
      </c>
      <c r="G721" s="84">
        <f>36690+(364+182)</f>
        <v>37236</v>
      </c>
      <c r="H721" s="53" t="str">
        <f>CHOOSE(MONTH(G721),"Jan","Feb","Mar","Apr","May","Jun","Jul","Aug","Sep","Oct","Nov","Dec")</f>
        <v>Dec</v>
      </c>
      <c r="I721" s="54">
        <f ca="1">DATEDIF(G721,TODAY(),"Y")</f>
        <v>14</v>
      </c>
      <c r="J721" s="55"/>
      <c r="K721" s="56">
        <v>29540</v>
      </c>
      <c r="L721" s="57">
        <v>3</v>
      </c>
      <c r="M721" s="62">
        <f>ROUND(K721*P719+K721,0)</f>
        <v>29540</v>
      </c>
    </row>
    <row r="722" spans="1:15" x14ac:dyDescent="0.25">
      <c r="A722" s="42" t="s">
        <v>337</v>
      </c>
      <c r="B722" s="49" t="s">
        <v>271</v>
      </c>
      <c r="C722" s="42" t="s">
        <v>312</v>
      </c>
      <c r="D722" s="105">
        <v>831188207</v>
      </c>
      <c r="E722" s="105">
        <v>9192121334</v>
      </c>
      <c r="F722" s="42" t="s">
        <v>256</v>
      </c>
      <c r="G722" s="84">
        <f>36695+(364+182)</f>
        <v>37241</v>
      </c>
      <c r="H722" s="53" t="str">
        <f>CHOOSE(MONTH(G722),"Jan","Feb","Mar","Apr","May","Jun","Jul","Aug","Sep","Oct","Nov","Dec")</f>
        <v>Dec</v>
      </c>
      <c r="I722" s="54">
        <f ca="1">DATEDIF(G722,TODAY(),"Y")</f>
        <v>14</v>
      </c>
      <c r="J722" s="55" t="s">
        <v>257</v>
      </c>
      <c r="K722" s="56">
        <v>71950</v>
      </c>
      <c r="L722" s="57">
        <v>5</v>
      </c>
      <c r="M722" s="62">
        <f>ROUND(K722*P720+K722,0)</f>
        <v>71950</v>
      </c>
    </row>
    <row r="723" spans="1:15" x14ac:dyDescent="0.25">
      <c r="A723" s="42" t="s">
        <v>787</v>
      </c>
      <c r="B723" s="49" t="s">
        <v>271</v>
      </c>
      <c r="C723" s="42" t="s">
        <v>767</v>
      </c>
      <c r="D723" s="105">
        <v>209846975</v>
      </c>
      <c r="E723" s="105">
        <v>2522639452</v>
      </c>
      <c r="F723" s="42" t="s">
        <v>261</v>
      </c>
      <c r="G723" s="84">
        <f>36703+(364+182)</f>
        <v>37249</v>
      </c>
      <c r="H723" s="53" t="str">
        <f>CHOOSE(MONTH(G723),"Jan","Feb","Mar","Apr","May","Jun","Jul","Aug","Sep","Oct","Nov","Dec")</f>
        <v>Dec</v>
      </c>
      <c r="I723" s="54">
        <f ca="1">DATEDIF(G723,TODAY(),"Y")</f>
        <v>14</v>
      </c>
      <c r="J723" s="55" t="s">
        <v>276</v>
      </c>
      <c r="K723" s="56">
        <v>12545</v>
      </c>
      <c r="L723" s="57">
        <v>4</v>
      </c>
      <c r="M723" s="62">
        <f>ROUND(K723*P721+K723,0)</f>
        <v>12545</v>
      </c>
    </row>
    <row r="724" spans="1:15" x14ac:dyDescent="0.25">
      <c r="A724" s="42" t="s">
        <v>397</v>
      </c>
      <c r="B724" s="49" t="s">
        <v>266</v>
      </c>
      <c r="C724" s="42" t="s">
        <v>391</v>
      </c>
      <c r="D724" s="105">
        <v>434927073</v>
      </c>
      <c r="E724" s="105">
        <v>2528440900</v>
      </c>
      <c r="F724" s="42" t="s">
        <v>256</v>
      </c>
      <c r="G724" s="84">
        <f>37066+(364+182)</f>
        <v>37612</v>
      </c>
      <c r="H724" s="53" t="str">
        <f>CHOOSE(MONTH(G724),"Jan","Feb","Mar","Apr","May","Jun","Jul","Aug","Sep","Oct","Nov","Dec")</f>
        <v>Dec</v>
      </c>
      <c r="I724" s="54">
        <f ca="1">DATEDIF(G724,TODAY(),"Y")</f>
        <v>13</v>
      </c>
      <c r="J724" s="55" t="s">
        <v>267</v>
      </c>
      <c r="K724" s="56">
        <v>39740</v>
      </c>
      <c r="L724" s="57">
        <v>1</v>
      </c>
      <c r="M724" s="62">
        <f>ROUND(K724*P722+K724,0)</f>
        <v>39740</v>
      </c>
    </row>
    <row r="725" spans="1:15" x14ac:dyDescent="0.25">
      <c r="A725" s="42" t="s">
        <v>527</v>
      </c>
      <c r="B725" s="49" t="s">
        <v>245</v>
      </c>
      <c r="C725" s="42" t="s">
        <v>465</v>
      </c>
      <c r="D725" s="105">
        <v>488831244</v>
      </c>
      <c r="E725" s="105">
        <v>9198979762</v>
      </c>
      <c r="F725" s="42" t="s">
        <v>261</v>
      </c>
      <c r="G725" s="84">
        <f>37074+(364+182)</f>
        <v>37620</v>
      </c>
      <c r="H725" s="53" t="str">
        <f>CHOOSE(MONTH(G725),"Jan","Feb","Mar","Apr","May","Jun","Jul","Aug","Sep","Oct","Nov","Dec")</f>
        <v>Dec</v>
      </c>
      <c r="I725" s="54">
        <f ca="1">DATEDIF(G725,TODAY(),"Y")</f>
        <v>13</v>
      </c>
      <c r="J725" s="55" t="s">
        <v>257</v>
      </c>
      <c r="K725" s="56">
        <v>24460</v>
      </c>
      <c r="L725" s="57">
        <v>1</v>
      </c>
      <c r="M725" s="62">
        <f>ROUND(K725*P723+K725,0)</f>
        <v>24460</v>
      </c>
    </row>
    <row r="726" spans="1:15" x14ac:dyDescent="0.25">
      <c r="A726" s="42" t="s">
        <v>311</v>
      </c>
      <c r="B726" s="49" t="s">
        <v>245</v>
      </c>
      <c r="C726" s="42" t="s">
        <v>312</v>
      </c>
      <c r="D726" s="105">
        <v>365117800</v>
      </c>
      <c r="E726" s="105">
        <v>2524125146</v>
      </c>
      <c r="F726" s="42" t="s">
        <v>256</v>
      </c>
      <c r="G726" s="84">
        <f>37414+(364+182)</f>
        <v>37960</v>
      </c>
      <c r="H726" s="53" t="str">
        <f>CHOOSE(MONTH(G726),"Jan","Feb","Mar","Apr","May","Jun","Jul","Aug","Sep","Oct","Nov","Dec")</f>
        <v>Dec</v>
      </c>
      <c r="I726" s="54">
        <f ca="1">DATEDIF(G726,TODAY(),"Y")</f>
        <v>12</v>
      </c>
      <c r="J726" s="55" t="s">
        <v>257</v>
      </c>
      <c r="K726" s="56">
        <v>66890</v>
      </c>
      <c r="L726" s="57">
        <v>5</v>
      </c>
      <c r="M726" s="62">
        <f>ROUND(K726*P724+K726,0)</f>
        <v>66890</v>
      </c>
    </row>
    <row r="727" spans="1:15" x14ac:dyDescent="0.25">
      <c r="A727" s="42" t="s">
        <v>986</v>
      </c>
      <c r="B727" s="49" t="s">
        <v>285</v>
      </c>
      <c r="C727" s="42" t="s">
        <v>930</v>
      </c>
      <c r="D727" s="105">
        <v>862698919</v>
      </c>
      <c r="E727" s="105">
        <v>2522780847</v>
      </c>
      <c r="F727" s="42" t="s">
        <v>256</v>
      </c>
      <c r="G727" s="84">
        <f>37782+(364+182)</f>
        <v>38328</v>
      </c>
      <c r="H727" s="53" t="str">
        <f>CHOOSE(MONTH(G727),"Jan","Feb","Mar","Apr","May","Jun","Jul","Aug","Sep","Oct","Nov","Dec")</f>
        <v>Dec</v>
      </c>
      <c r="I727" s="54">
        <f ca="1">DATEDIF(G727,TODAY(),"Y")</f>
        <v>11</v>
      </c>
      <c r="J727" s="55" t="s">
        <v>262</v>
      </c>
      <c r="K727" s="56">
        <v>48280</v>
      </c>
      <c r="L727" s="57">
        <v>4</v>
      </c>
      <c r="M727" s="62">
        <f>ROUND(K727*P725+K727,0)</f>
        <v>48280</v>
      </c>
    </row>
    <row r="728" spans="1:15" x14ac:dyDescent="0.25">
      <c r="A728" s="42" t="s">
        <v>982</v>
      </c>
      <c r="B728" s="49" t="s">
        <v>245</v>
      </c>
      <c r="C728" s="42" t="s">
        <v>930</v>
      </c>
      <c r="D728" s="105">
        <v>683670378</v>
      </c>
      <c r="E728" s="105">
        <v>9196259106</v>
      </c>
      <c r="F728" s="42" t="s">
        <v>256</v>
      </c>
      <c r="G728" s="84">
        <f>37801+(364+182)</f>
        <v>38347</v>
      </c>
      <c r="H728" s="53" t="str">
        <f>CHOOSE(MONTH(G728),"Jan","Feb","Mar","Apr","May","Jun","Jul","Aug","Sep","Oct","Nov","Dec")</f>
        <v>Dec</v>
      </c>
      <c r="I728" s="54">
        <f ca="1">DATEDIF(G728,TODAY(),"Y")</f>
        <v>11</v>
      </c>
      <c r="J728" s="55" t="s">
        <v>283</v>
      </c>
      <c r="K728" s="56">
        <v>81340</v>
      </c>
      <c r="L728" s="57">
        <v>2</v>
      </c>
      <c r="M728" s="62">
        <f>ROUND(K728*P726+K728,0)</f>
        <v>81340</v>
      </c>
    </row>
    <row r="729" spans="1:15" x14ac:dyDescent="0.25">
      <c r="A729" s="42" t="s">
        <v>290</v>
      </c>
      <c r="B729" s="49" t="s">
        <v>266</v>
      </c>
      <c r="C729" s="42" t="s">
        <v>272</v>
      </c>
      <c r="D729" s="105">
        <v>840313216</v>
      </c>
      <c r="E729" s="105">
        <v>9198449868</v>
      </c>
      <c r="F729" s="42" t="s">
        <v>256</v>
      </c>
      <c r="G729" s="84">
        <f>38523+(364+182)</f>
        <v>39069</v>
      </c>
      <c r="H729" s="53" t="str">
        <f>CHOOSE(MONTH(G729),"Jan","Feb","Mar","Apr","May","Jun","Jul","Aug","Sep","Oct","Nov","Dec")</f>
        <v>Dec</v>
      </c>
      <c r="I729" s="54">
        <f ca="1">DATEDIF(G729,TODAY(),"Y")</f>
        <v>9</v>
      </c>
      <c r="J729" s="55" t="s">
        <v>267</v>
      </c>
      <c r="K729" s="56">
        <v>37670</v>
      </c>
      <c r="L729" s="57">
        <v>3</v>
      </c>
      <c r="M729" s="62">
        <f>ROUND(K729*P727+K729,0)</f>
        <v>37670</v>
      </c>
    </row>
    <row r="730" spans="1:15" x14ac:dyDescent="0.25">
      <c r="A730" s="42" t="s">
        <v>308</v>
      </c>
      <c r="B730" s="49" t="s">
        <v>285</v>
      </c>
      <c r="C730" s="42" t="s">
        <v>307</v>
      </c>
      <c r="D730" s="105">
        <v>534034571</v>
      </c>
      <c r="E730" s="105">
        <v>2526169135</v>
      </c>
      <c r="F730" s="42" t="s">
        <v>261</v>
      </c>
      <c r="G730" s="84">
        <f>38871+(364+182)</f>
        <v>39417</v>
      </c>
      <c r="H730" s="53" t="str">
        <f>CHOOSE(MONTH(G730),"Jan","Feb","Mar","Apr","May","Jun","Jul","Aug","Sep","Oct","Nov","Dec")</f>
        <v>Dec</v>
      </c>
      <c r="I730" s="54">
        <f ca="1">DATEDIF(G730,TODAY(),"Y")</f>
        <v>8</v>
      </c>
      <c r="J730" s="55" t="s">
        <v>267</v>
      </c>
      <c r="K730" s="56">
        <v>46095</v>
      </c>
      <c r="L730" s="57">
        <v>3</v>
      </c>
      <c r="M730" s="62">
        <f>ROUND(K730*P728+K730,0)</f>
        <v>46095</v>
      </c>
    </row>
    <row r="731" spans="1:15" x14ac:dyDescent="0.25">
      <c r="A731" s="42" t="s">
        <v>965</v>
      </c>
      <c r="B731" s="49" t="s">
        <v>280</v>
      </c>
      <c r="C731" s="42" t="s">
        <v>930</v>
      </c>
      <c r="D731" s="105">
        <v>230192897</v>
      </c>
      <c r="E731" s="105">
        <v>2525261239</v>
      </c>
      <c r="F731" s="42" t="s">
        <v>256</v>
      </c>
      <c r="G731" s="84">
        <f>38895+(364+182)</f>
        <v>39441</v>
      </c>
      <c r="H731" s="53" t="str">
        <f>CHOOSE(MONTH(G731),"Jan","Feb","Mar","Apr","May","Jun","Jul","Aug","Sep","Oct","Nov","Dec")</f>
        <v>Dec</v>
      </c>
      <c r="I731" s="54">
        <f ca="1">DATEDIF(G731,TODAY(),"Y")</f>
        <v>8</v>
      </c>
      <c r="J731" s="55" t="s">
        <v>262</v>
      </c>
      <c r="K731" s="56">
        <v>68860</v>
      </c>
      <c r="L731" s="57">
        <v>2</v>
      </c>
      <c r="M731" s="62">
        <f>ROUND(K731*P729+K731,0)</f>
        <v>68860</v>
      </c>
    </row>
    <row r="732" spans="1:15" x14ac:dyDescent="0.25">
      <c r="A732" s="42" t="s">
        <v>849</v>
      </c>
      <c r="B732" s="49" t="s">
        <v>285</v>
      </c>
      <c r="C732" s="42" t="s">
        <v>767</v>
      </c>
      <c r="D732" s="105">
        <v>592519945</v>
      </c>
      <c r="E732" s="105">
        <v>9195990200</v>
      </c>
      <c r="F732" s="42" t="s">
        <v>256</v>
      </c>
      <c r="G732" s="84">
        <f>38900+(364+182)</f>
        <v>39446</v>
      </c>
      <c r="H732" s="53" t="str">
        <f>CHOOSE(MONTH(G732),"Jan","Feb","Mar","Apr","May","Jun","Jul","Aug","Sep","Oct","Nov","Dec")</f>
        <v>Dec</v>
      </c>
      <c r="I732" s="54">
        <f ca="1">DATEDIF(G732,TODAY(),"Y")</f>
        <v>8</v>
      </c>
      <c r="J732" s="55" t="s">
        <v>257</v>
      </c>
      <c r="K732" s="56">
        <v>44650</v>
      </c>
      <c r="L732" s="57">
        <v>1</v>
      </c>
      <c r="M732" s="62">
        <f>ROUND(K732*P730+K732,0)</f>
        <v>44650</v>
      </c>
    </row>
    <row r="733" spans="1:15" x14ac:dyDescent="0.25">
      <c r="A733" s="48" t="s">
        <v>265</v>
      </c>
      <c r="B733" s="49" t="s">
        <v>266</v>
      </c>
      <c r="C733" s="48" t="s">
        <v>246</v>
      </c>
      <c r="D733" s="109">
        <v>991656720</v>
      </c>
      <c r="E733" s="109">
        <v>2528138394</v>
      </c>
      <c r="F733" s="48" t="s">
        <v>256</v>
      </c>
      <c r="G733" s="108">
        <f>38901+(364+182)</f>
        <v>39447</v>
      </c>
      <c r="H733" s="53" t="str">
        <f>CHOOSE(MONTH(G733),"Jan","Feb","Mar","Apr","May","Jun","Jul","Aug","Sep","Oct","Nov","Dec")</f>
        <v>Dec</v>
      </c>
      <c r="I733" s="54">
        <f ca="1">DATEDIF(G733,TODAY(),"Y")</f>
        <v>8</v>
      </c>
      <c r="J733" s="55" t="s">
        <v>267</v>
      </c>
      <c r="K733" s="56">
        <v>72830</v>
      </c>
      <c r="L733" s="57">
        <v>2</v>
      </c>
      <c r="M733" s="62">
        <f>ROUND(K733*P731+K733,0)</f>
        <v>72830</v>
      </c>
      <c r="O733" s="107"/>
    </row>
    <row r="734" spans="1:15" x14ac:dyDescent="0.25">
      <c r="A734" s="42" t="s">
        <v>720</v>
      </c>
      <c r="B734" s="49" t="s">
        <v>280</v>
      </c>
      <c r="C734" s="42" t="s">
        <v>705</v>
      </c>
      <c r="D734" s="105">
        <v>291803431</v>
      </c>
      <c r="E734" s="105">
        <v>2525866679</v>
      </c>
      <c r="F734" s="42" t="s">
        <v>247</v>
      </c>
      <c r="G734" s="84">
        <f>39237+(364+182)</f>
        <v>39783</v>
      </c>
      <c r="H734" s="53" t="str">
        <f>CHOOSE(MONTH(G734),"Jan","Feb","Mar","Apr","May","Jun","Jul","Aug","Sep","Oct","Nov","Dec")</f>
        <v>Dec</v>
      </c>
      <c r="I734" s="54">
        <f ca="1">DATEDIF(G734,TODAY(),"Y")</f>
        <v>7</v>
      </c>
      <c r="J734" s="55"/>
      <c r="K734" s="56">
        <v>54000</v>
      </c>
      <c r="L734" s="57">
        <v>3</v>
      </c>
      <c r="M734" s="62">
        <f>ROUND(K734*P732+K734,0)</f>
        <v>54000</v>
      </c>
    </row>
    <row r="735" spans="1:15" x14ac:dyDescent="0.25">
      <c r="A735" s="42" t="s">
        <v>362</v>
      </c>
      <c r="B735" s="49" t="s">
        <v>266</v>
      </c>
      <c r="C735" s="42" t="s">
        <v>312</v>
      </c>
      <c r="D735" s="105">
        <v>600458368</v>
      </c>
      <c r="E735" s="105">
        <v>9197280453</v>
      </c>
      <c r="F735" s="42" t="s">
        <v>261</v>
      </c>
      <c r="G735" s="84">
        <f>39256+(364+182)</f>
        <v>39802</v>
      </c>
      <c r="H735" s="53" t="str">
        <f>CHOOSE(MONTH(G735),"Jan","Feb","Mar","Apr","May","Jun","Jul","Aug","Sep","Oct","Nov","Dec")</f>
        <v>Dec</v>
      </c>
      <c r="I735" s="54">
        <f ca="1">DATEDIF(G735,TODAY(),"Y")</f>
        <v>7</v>
      </c>
      <c r="J735" s="55" t="s">
        <v>276</v>
      </c>
      <c r="K735" s="56">
        <v>22535</v>
      </c>
      <c r="L735" s="57">
        <v>3</v>
      </c>
      <c r="M735" s="62">
        <f>ROUND(K735*P733+K735,0)</f>
        <v>22535</v>
      </c>
    </row>
    <row r="736" spans="1:15" x14ac:dyDescent="0.25">
      <c r="A736" s="42" t="s">
        <v>309</v>
      </c>
      <c r="B736" s="49" t="s">
        <v>271</v>
      </c>
      <c r="C736" s="42" t="s">
        <v>307</v>
      </c>
      <c r="D736" s="105">
        <v>601942708</v>
      </c>
      <c r="E736" s="105">
        <v>9198085402</v>
      </c>
      <c r="F736" s="42" t="s">
        <v>261</v>
      </c>
      <c r="G736" s="84">
        <f>39606+(364+182)</f>
        <v>40152</v>
      </c>
      <c r="H736" s="53" t="str">
        <f>CHOOSE(MONTH(G736),"Jan","Feb","Mar","Apr","May","Jun","Jul","Aug","Sep","Oct","Nov","Dec")</f>
        <v>Dec</v>
      </c>
      <c r="I736" s="54">
        <f ca="1">DATEDIF(G736,TODAY(),"Y")</f>
        <v>6</v>
      </c>
      <c r="J736" s="55" t="s">
        <v>283</v>
      </c>
      <c r="K736" s="56">
        <v>28680</v>
      </c>
      <c r="L736" s="57">
        <v>1</v>
      </c>
      <c r="M736" s="62">
        <f>ROUND(K736*P734+K736,0)</f>
        <v>28680</v>
      </c>
    </row>
    <row r="737" spans="1:15" x14ac:dyDescent="0.25">
      <c r="A737" s="42" t="s">
        <v>1059</v>
      </c>
      <c r="B737" s="49" t="s">
        <v>271</v>
      </c>
      <c r="C737" s="42" t="s">
        <v>767</v>
      </c>
      <c r="D737" s="105">
        <v>924942231</v>
      </c>
      <c r="E737" s="105">
        <v>9193279828</v>
      </c>
      <c r="F737" s="42" t="s">
        <v>261</v>
      </c>
      <c r="G737" s="84">
        <f>39620+(364+182)</f>
        <v>40166</v>
      </c>
      <c r="H737" s="53" t="str">
        <f>CHOOSE(MONTH(G737),"Jan","Feb","Mar","Apr","May","Jun","Jul","Aug","Sep","Oct","Nov","Dec")</f>
        <v>Dec</v>
      </c>
      <c r="I737" s="54">
        <f ca="1">DATEDIF(G737,TODAY(),"Y")</f>
        <v>6</v>
      </c>
      <c r="J737" s="55" t="s">
        <v>276</v>
      </c>
      <c r="K737" s="56">
        <v>25245</v>
      </c>
      <c r="L737" s="57">
        <v>5</v>
      </c>
      <c r="M737" s="62">
        <f>ROUND(K737*P735+K737,0)</f>
        <v>25245</v>
      </c>
    </row>
    <row r="738" spans="1:15" x14ac:dyDescent="0.25">
      <c r="A738" s="42" t="s">
        <v>581</v>
      </c>
      <c r="B738" s="49" t="s">
        <v>266</v>
      </c>
      <c r="C738" s="42" t="s">
        <v>465</v>
      </c>
      <c r="D738" s="105">
        <v>425634540</v>
      </c>
      <c r="E738" s="105">
        <v>9196969994</v>
      </c>
      <c r="F738" s="42" t="s">
        <v>256</v>
      </c>
      <c r="G738" s="84">
        <f>39629+(364+182)</f>
        <v>40175</v>
      </c>
      <c r="H738" s="53" t="str">
        <f>CHOOSE(MONTH(G738),"Jan","Feb","Mar","Apr","May","Jun","Jul","Aug","Sep","Oct","Nov","Dec")</f>
        <v>Dec</v>
      </c>
      <c r="I738" s="54">
        <f ca="1">DATEDIF(G738,TODAY(),"Y")</f>
        <v>6</v>
      </c>
      <c r="J738" s="55" t="s">
        <v>267</v>
      </c>
      <c r="K738" s="56">
        <v>34690</v>
      </c>
      <c r="L738" s="57">
        <v>2</v>
      </c>
      <c r="M738" s="62">
        <f>ROUND(K738*P736+K738,0)</f>
        <v>34690</v>
      </c>
    </row>
    <row r="739" spans="1:15" x14ac:dyDescent="0.25">
      <c r="A739" s="42" t="s">
        <v>384</v>
      </c>
      <c r="B739" s="49" t="s">
        <v>271</v>
      </c>
      <c r="C739" s="42" t="s">
        <v>381</v>
      </c>
      <c r="D739" s="105">
        <v>324622113</v>
      </c>
      <c r="E739" s="105">
        <v>9198824849</v>
      </c>
      <c r="F739" s="42" t="s">
        <v>261</v>
      </c>
      <c r="G739" s="106">
        <f>39970+(364+182)</f>
        <v>40516</v>
      </c>
      <c r="H739" s="53" t="str">
        <f>CHOOSE(MONTH(G739),"Jan","Feb","Mar","Apr","May","Jun","Jul","Aug","Sep","Oct","Nov","Dec")</f>
        <v>Dec</v>
      </c>
      <c r="I739" s="54">
        <f ca="1">DATEDIF(G739,TODAY(),"Y")</f>
        <v>5</v>
      </c>
      <c r="J739" s="55" t="s">
        <v>283</v>
      </c>
      <c r="K739" s="56">
        <v>28625</v>
      </c>
      <c r="L739" s="57">
        <v>1</v>
      </c>
      <c r="M739" s="62">
        <f>ROUND(K739*P737+K739,0)</f>
        <v>28625</v>
      </c>
      <c r="O739" s="104"/>
    </row>
    <row r="740" spans="1:15" x14ac:dyDescent="0.25">
      <c r="A740" s="42" t="s">
        <v>981</v>
      </c>
      <c r="B740" s="49" t="s">
        <v>285</v>
      </c>
      <c r="C740" s="42" t="s">
        <v>930</v>
      </c>
      <c r="D740" s="105">
        <v>717503282</v>
      </c>
      <c r="E740" s="105">
        <v>2522400087</v>
      </c>
      <c r="F740" s="42" t="s">
        <v>247</v>
      </c>
      <c r="G740" s="84">
        <f>39977+(364+182)</f>
        <v>40523</v>
      </c>
      <c r="H740" s="53" t="str">
        <f>CHOOSE(MONTH(G740),"Jan","Feb","Mar","Apr","May","Jun","Jul","Aug","Sep","Oct","Nov","Dec")</f>
        <v>Dec</v>
      </c>
      <c r="I740" s="54">
        <f ca="1">DATEDIF(G740,TODAY(),"Y")</f>
        <v>5</v>
      </c>
      <c r="J740" s="55"/>
      <c r="K740" s="56">
        <v>46570</v>
      </c>
      <c r="L740" s="57">
        <v>4</v>
      </c>
      <c r="M740" s="62">
        <f>ROUND(K740*P738+K740,0)</f>
        <v>46570</v>
      </c>
    </row>
    <row r="741" spans="1:15" x14ac:dyDescent="0.25">
      <c r="A741" s="42" t="s">
        <v>681</v>
      </c>
      <c r="B741" s="49" t="s">
        <v>280</v>
      </c>
      <c r="C741" s="42" t="s">
        <v>678</v>
      </c>
      <c r="D741" s="105">
        <v>478004556</v>
      </c>
      <c r="E741" s="105">
        <v>9193891189</v>
      </c>
      <c r="F741" s="42" t="s">
        <v>256</v>
      </c>
      <c r="G741" s="84">
        <f>39987+(364+182)</f>
        <v>40533</v>
      </c>
      <c r="H741" s="53" t="str">
        <f>CHOOSE(MONTH(G741),"Jan","Feb","Mar","Apr","May","Jun","Jul","Aug","Sep","Oct","Nov","Dec")</f>
        <v>Dec</v>
      </c>
      <c r="I741" s="54">
        <f ca="1">DATEDIF(G741,TODAY(),"Y")</f>
        <v>5</v>
      </c>
      <c r="J741" s="55" t="s">
        <v>276</v>
      </c>
      <c r="K741" s="56">
        <v>62180</v>
      </c>
      <c r="L741" s="57">
        <v>2</v>
      </c>
      <c r="M741" s="62">
        <f>ROUND(K741*P739+K741,0)</f>
        <v>62180</v>
      </c>
    </row>
    <row r="742" spans="1:15" x14ac:dyDescent="0.25">
      <c r="A742" s="42" t="s">
        <v>1019</v>
      </c>
      <c r="B742" s="49" t="s">
        <v>266</v>
      </c>
      <c r="C742" s="42" t="s">
        <v>930</v>
      </c>
      <c r="D742" s="105">
        <v>929694686</v>
      </c>
      <c r="E742" s="105">
        <v>9194483888</v>
      </c>
      <c r="F742" s="42" t="s">
        <v>256</v>
      </c>
      <c r="G742" s="106">
        <f>39990+(364+182)</f>
        <v>40536</v>
      </c>
      <c r="H742" s="53" t="str">
        <f>CHOOSE(MONTH(G742),"Jan","Feb","Mar","Apr","May","Jun","Jul","Aug","Sep","Oct","Nov","Dec")</f>
        <v>Dec</v>
      </c>
      <c r="I742" s="54">
        <f ca="1">DATEDIF(G742,TODAY(),"Y")</f>
        <v>5</v>
      </c>
      <c r="J742" s="55" t="s">
        <v>283</v>
      </c>
      <c r="K742" s="56">
        <v>70730</v>
      </c>
      <c r="L742" s="57">
        <v>1</v>
      </c>
      <c r="M742" s="62">
        <f>ROUND(K742*P740+K742,0)</f>
        <v>70730</v>
      </c>
    </row>
    <row r="743" spans="1:15" x14ac:dyDescent="0.25">
      <c r="A743" s="42" t="s">
        <v>1032</v>
      </c>
      <c r="B743" s="49" t="s">
        <v>266</v>
      </c>
      <c r="C743" s="42" t="s">
        <v>1031</v>
      </c>
      <c r="D743" s="105">
        <v>827277063</v>
      </c>
      <c r="E743" s="105">
        <v>2528873234</v>
      </c>
      <c r="F743" s="42" t="s">
        <v>252</v>
      </c>
      <c r="G743" s="84">
        <f>39997+(364+182)</f>
        <v>40543</v>
      </c>
      <c r="H743" s="53" t="str">
        <f>CHOOSE(MONTH(G743),"Jan","Feb","Mar","Apr","May","Jun","Jul","Aug","Sep","Oct","Nov","Dec")</f>
        <v>Dec</v>
      </c>
      <c r="I743" s="54">
        <f ca="1">DATEDIF(G743,TODAY(),"Y")</f>
        <v>5</v>
      </c>
      <c r="J743" s="55"/>
      <c r="K743" s="56">
        <v>19044</v>
      </c>
      <c r="L743" s="57">
        <v>1</v>
      </c>
      <c r="M743" s="62">
        <f>ROUND(K743*P741+K743,0)</f>
        <v>19044</v>
      </c>
      <c r="O743" s="104"/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FF"/>
  </sheetPr>
  <dimension ref="A1:AM373"/>
  <sheetViews>
    <sheetView topLeftCell="A19" zoomScaleNormal="100" zoomScalePageLayoutView="80" workbookViewId="0">
      <selection activeCell="B35" sqref="B35"/>
    </sheetView>
  </sheetViews>
  <sheetFormatPr defaultColWidth="9.7109375" defaultRowHeight="15.75" x14ac:dyDescent="0.25"/>
  <cols>
    <col min="1" max="1" width="39.7109375" style="129" bestFit="1" customWidth="1"/>
    <col min="2" max="2" width="5.85546875" style="129" bestFit="1" customWidth="1"/>
    <col min="3" max="11" width="9.42578125" style="129" bestFit="1" customWidth="1"/>
    <col min="12" max="12" width="12.28515625" style="129" bestFit="1" customWidth="1"/>
    <col min="13" max="14" width="9.42578125" style="129" bestFit="1" customWidth="1"/>
    <col min="15" max="16" width="12.28515625" style="129" bestFit="1" customWidth="1"/>
    <col min="17" max="17" width="11.7109375" style="129" bestFit="1" customWidth="1"/>
    <col min="18" max="24" width="11.7109375" style="130" customWidth="1"/>
    <col min="25" max="31" width="12.85546875" style="129" customWidth="1"/>
    <col min="32" max="33" width="5.28515625" style="129" bestFit="1" customWidth="1"/>
    <col min="34" max="34" width="12" style="129" bestFit="1" customWidth="1"/>
    <col min="35" max="35" width="10" style="129" bestFit="1" customWidth="1"/>
    <col min="36" max="37" width="12.28515625" style="129" bestFit="1" customWidth="1"/>
    <col min="38" max="38" width="32.85546875" style="129" bestFit="1" customWidth="1"/>
    <col min="39" max="39" width="39.7109375" style="129" bestFit="1" customWidth="1"/>
    <col min="40" max="16384" width="9.7109375" style="129"/>
  </cols>
  <sheetData>
    <row r="1" spans="1:39" x14ac:dyDescent="0.25">
      <c r="A1" s="138" t="s">
        <v>1476</v>
      </c>
      <c r="B1" s="136" t="s">
        <v>1483</v>
      </c>
      <c r="C1" s="136" t="s">
        <v>248</v>
      </c>
      <c r="D1" s="136" t="s">
        <v>253</v>
      </c>
      <c r="E1" s="136" t="s">
        <v>258</v>
      </c>
      <c r="F1" s="136" t="s">
        <v>263</v>
      </c>
      <c r="G1" s="136" t="s">
        <v>268</v>
      </c>
      <c r="H1" s="136" t="s">
        <v>273</v>
      </c>
      <c r="I1" s="136" t="s">
        <v>249</v>
      </c>
      <c r="J1" s="136" t="s">
        <v>254</v>
      </c>
      <c r="K1" s="136" t="s">
        <v>259</v>
      </c>
      <c r="L1" s="136" t="s">
        <v>264</v>
      </c>
      <c r="M1" s="136" t="s">
        <v>269</v>
      </c>
      <c r="N1" s="136" t="s">
        <v>274</v>
      </c>
      <c r="O1" s="136" t="s">
        <v>1482</v>
      </c>
      <c r="P1" s="136" t="s">
        <v>1481</v>
      </c>
      <c r="Q1" s="136" t="s">
        <v>1480</v>
      </c>
      <c r="R1" s="135"/>
      <c r="S1" s="135"/>
      <c r="T1" s="135"/>
      <c r="U1" s="135"/>
      <c r="V1" s="135"/>
      <c r="W1" s="135"/>
      <c r="X1" s="135"/>
      <c r="AF1" s="129">
        <f>22*12</f>
        <v>264</v>
      </c>
      <c r="AG1" s="129" t="s">
        <v>1503</v>
      </c>
      <c r="AH1" s="129" t="s">
        <v>1502</v>
      </c>
      <c r="AI1" s="129" t="s">
        <v>1064</v>
      </c>
      <c r="AJ1" s="129" t="s">
        <v>1501</v>
      </c>
      <c r="AK1" s="129" t="s">
        <v>1481</v>
      </c>
      <c r="AL1" s="129" t="s">
        <v>1500</v>
      </c>
      <c r="AM1" s="129" t="s">
        <v>1499</v>
      </c>
    </row>
    <row r="2" spans="1:39" x14ac:dyDescent="0.25">
      <c r="A2" s="137"/>
      <c r="B2" s="136" t="s">
        <v>1483</v>
      </c>
      <c r="C2" s="136" t="s">
        <v>248</v>
      </c>
      <c r="D2" s="136" t="s">
        <v>253</v>
      </c>
      <c r="E2" s="136" t="s">
        <v>258</v>
      </c>
      <c r="F2" s="136" t="s">
        <v>263</v>
      </c>
      <c r="G2" s="136" t="s">
        <v>268</v>
      </c>
      <c r="H2" s="136" t="s">
        <v>273</v>
      </c>
      <c r="I2" s="136" t="s">
        <v>249</v>
      </c>
      <c r="J2" s="136" t="s">
        <v>254</v>
      </c>
      <c r="K2" s="136" t="s">
        <v>259</v>
      </c>
      <c r="L2" s="136" t="s">
        <v>264</v>
      </c>
      <c r="M2" s="136" t="s">
        <v>269</v>
      </c>
      <c r="N2" s="136" t="s">
        <v>274</v>
      </c>
      <c r="O2" s="136" t="s">
        <v>1482</v>
      </c>
      <c r="P2" s="136" t="s">
        <v>1481</v>
      </c>
      <c r="Q2" s="136" t="s">
        <v>1480</v>
      </c>
      <c r="R2" s="135"/>
      <c r="S2" s="135"/>
      <c r="T2" s="135"/>
      <c r="U2" s="135"/>
      <c r="V2" s="135"/>
      <c r="W2" s="135"/>
      <c r="X2" s="135"/>
      <c r="AG2" s="129">
        <v>1</v>
      </c>
      <c r="AH2" s="129" t="s">
        <v>1474</v>
      </c>
      <c r="AI2" s="131">
        <f>DATE(YEAR(INDEX($B$2:$N$24,INT((AG2+11)/12)+1,1)),IF(MOD(AG2,12)&lt;&gt;0,MOD(AG2,12),12),1)</f>
        <v>40909</v>
      </c>
      <c r="AJ2" s="129">
        <f>INDEX($C$3:$N$24,INT((AG2+11)/12),AG2-(12*(INT((AG2+11)/12)-1)))</f>
        <v>254444.04</v>
      </c>
      <c r="AK2" s="129">
        <f t="array" ref="AK2">INDEX($P$3:$P$24,MATCH(AM2&amp;YEAR(AI2),$A$3:$A$24&amp;YEAR($B$3:$B$24),0))</f>
        <v>2269948</v>
      </c>
      <c r="AL2" s="129" t="s">
        <v>1476</v>
      </c>
      <c r="AM2" s="129" t="str">
        <f>INDEX($A$3:$A$24,INT((AG2+11)/12))</f>
        <v>Sales Tax (313-10)</v>
      </c>
    </row>
    <row r="3" spans="1:39" x14ac:dyDescent="0.25">
      <c r="A3" s="140" t="s">
        <v>1498</v>
      </c>
      <c r="B3" s="133">
        <v>40909</v>
      </c>
      <c r="C3" s="129">
        <v>254444.04</v>
      </c>
      <c r="D3" s="129">
        <v>172370.77</v>
      </c>
      <c r="E3" s="129">
        <v>166338.4</v>
      </c>
      <c r="F3" s="129">
        <v>198050.11</v>
      </c>
      <c r="G3" s="129">
        <v>175396.57</v>
      </c>
      <c r="H3" s="129">
        <v>192730.7</v>
      </c>
      <c r="I3" s="129">
        <v>210542.91</v>
      </c>
      <c r="J3" s="129">
        <v>186995.25</v>
      </c>
      <c r="K3" s="129">
        <v>193126.16</v>
      </c>
      <c r="L3" s="129">
        <v>201075.42</v>
      </c>
      <c r="M3" s="129">
        <v>183900.06</v>
      </c>
      <c r="N3" s="129">
        <v>193134.43</v>
      </c>
      <c r="O3" s="132">
        <f>SUM(C3:N3)</f>
        <v>2328104.8199999998</v>
      </c>
      <c r="P3" s="143">
        <v>2269948</v>
      </c>
      <c r="Q3" s="132">
        <f>O3-P3</f>
        <v>58156.819999999832</v>
      </c>
      <c r="AG3" s="129">
        <v>2</v>
      </c>
      <c r="AH3" s="129" t="s">
        <v>1474</v>
      </c>
      <c r="AI3" s="131">
        <f>DATE(YEAR(INDEX($B$2:$N$24,INT((AG3+11)/12)+1,1)),IF(MOD(AG3,12)&lt;&gt;0,MOD(AG3,12),12),1)</f>
        <v>40940</v>
      </c>
      <c r="AJ3" s="129">
        <f>INDEX($C$3:$N$24,INT((AG3+11)/12),AG3-(12*(INT((AG3+11)/12)-1)))</f>
        <v>172370.77</v>
      </c>
      <c r="AK3" s="129">
        <f t="array" ref="AK3">INDEX($P$3:$P$24,MATCH(AM3&amp;YEAR(AI3),$A$3:$A$24&amp;YEAR($B$3:$B$24),0))</f>
        <v>2269948</v>
      </c>
      <c r="AL3" s="129" t="s">
        <v>1476</v>
      </c>
      <c r="AM3" s="129" t="str">
        <f>INDEX($A$3:$A$24,INT((AG3+11)/12))</f>
        <v>Sales Tax (313-10)</v>
      </c>
    </row>
    <row r="4" spans="1:39" x14ac:dyDescent="0.25">
      <c r="A4" s="140" t="s">
        <v>1498</v>
      </c>
      <c r="B4" s="133">
        <v>41275</v>
      </c>
      <c r="C4" s="129">
        <v>266761.83</v>
      </c>
      <c r="D4" s="129">
        <v>171290.7</v>
      </c>
      <c r="E4" s="129">
        <v>174095.89</v>
      </c>
      <c r="F4" s="129">
        <v>219527.08</v>
      </c>
      <c r="G4" s="129">
        <v>192993.08</v>
      </c>
      <c r="H4" s="143"/>
      <c r="I4" s="143"/>
      <c r="J4" s="143"/>
      <c r="K4" s="143"/>
      <c r="L4" s="143"/>
      <c r="M4" s="143"/>
      <c r="N4" s="143"/>
      <c r="O4" s="132">
        <f>SUM(C4:N4)</f>
        <v>1024668.58</v>
      </c>
      <c r="P4" s="143">
        <v>2386855</v>
      </c>
      <c r="Q4" s="132">
        <f>O4-P4</f>
        <v>-1362186.42</v>
      </c>
      <c r="AG4" s="129">
        <v>3</v>
      </c>
      <c r="AH4" s="129" t="s">
        <v>1474</v>
      </c>
      <c r="AI4" s="131">
        <f>DATE(YEAR(INDEX($B$2:$N$24,INT((AG4+11)/12)+1,1)),IF(MOD(AG4,12)&lt;&gt;0,MOD(AG4,12),12),1)</f>
        <v>40969</v>
      </c>
      <c r="AJ4" s="129">
        <f>INDEX($C$3:$N$24,INT((AG4+11)/12),AG4-(12*(INT((AG4+11)/12)-1)))</f>
        <v>166338.4</v>
      </c>
      <c r="AK4" s="129">
        <f t="array" ref="AK4">INDEX($P$3:$P$24,MATCH(AM4&amp;YEAR(AI4),$A$3:$A$24&amp;YEAR($B$3:$B$24),0))</f>
        <v>2269948</v>
      </c>
      <c r="AL4" s="129" t="s">
        <v>1476</v>
      </c>
      <c r="AM4" s="129" t="str">
        <f>INDEX($A$3:$A$24,INT((AG4+11)/12))</f>
        <v>Sales Tax (313-10)</v>
      </c>
    </row>
    <row r="5" spans="1:39" x14ac:dyDescent="0.25">
      <c r="A5" s="140" t="s">
        <v>1497</v>
      </c>
      <c r="B5" s="133">
        <v>40909</v>
      </c>
      <c r="C5" s="129">
        <v>33891.089999999997</v>
      </c>
      <c r="D5" s="129">
        <v>21130.39</v>
      </c>
      <c r="E5" s="129">
        <v>27015.23</v>
      </c>
      <c r="F5" s="129">
        <v>29858.67</v>
      </c>
      <c r="G5" s="129">
        <v>29429.32</v>
      </c>
      <c r="H5" s="129">
        <v>55879.22</v>
      </c>
      <c r="I5" s="129">
        <v>29662.74</v>
      </c>
      <c r="J5" s="129">
        <v>25699.18</v>
      </c>
      <c r="K5" s="129">
        <v>31261.79</v>
      </c>
      <c r="L5" s="129">
        <v>37199.75</v>
      </c>
      <c r="M5" s="129">
        <v>28862.53</v>
      </c>
      <c r="N5" s="129">
        <v>30683.279999999999</v>
      </c>
      <c r="O5" s="132">
        <f>SUM(C5:N5)</f>
        <v>380573.18999999994</v>
      </c>
      <c r="P5" s="143">
        <v>326868</v>
      </c>
      <c r="Q5" s="132">
        <f>O5-P5</f>
        <v>53705.189999999944</v>
      </c>
      <c r="AG5" s="129">
        <v>4</v>
      </c>
      <c r="AH5" s="129" t="s">
        <v>1474</v>
      </c>
      <c r="AI5" s="131">
        <f>DATE(YEAR(INDEX($B$2:$N$24,INT((AG5+11)/12)+1,1)),IF(MOD(AG5,12)&lt;&gt;0,MOD(AG5,12),12),1)</f>
        <v>41000</v>
      </c>
      <c r="AJ5" s="129">
        <f>INDEX($C$3:$N$24,INT((AG5+11)/12),AG5-(12*(INT((AG5+11)/12)-1)))</f>
        <v>198050.11</v>
      </c>
      <c r="AK5" s="129">
        <f t="array" ref="AK5">INDEX($P$3:$P$24,MATCH(AM5&amp;YEAR(AI5),$A$3:$A$24&amp;YEAR($B$3:$B$24),0))</f>
        <v>2269948</v>
      </c>
      <c r="AL5" s="129" t="s">
        <v>1476</v>
      </c>
      <c r="AM5" s="129" t="str">
        <f>INDEX($A$3:$A$24,INT((AG5+11)/12))</f>
        <v>Sales Tax (313-10)</v>
      </c>
    </row>
    <row r="6" spans="1:39" x14ac:dyDescent="0.25">
      <c r="A6" s="140" t="s">
        <v>1497</v>
      </c>
      <c r="B6" s="133">
        <v>41275</v>
      </c>
      <c r="C6" s="129">
        <v>42273.53</v>
      </c>
      <c r="D6" s="129">
        <v>31845.59</v>
      </c>
      <c r="E6" s="129">
        <v>26771.77</v>
      </c>
      <c r="F6" s="129">
        <v>52875.7</v>
      </c>
      <c r="G6" s="129">
        <v>34177.94</v>
      </c>
      <c r="H6" s="143"/>
      <c r="I6" s="143"/>
      <c r="J6" s="143"/>
      <c r="K6" s="143"/>
      <c r="L6" s="143"/>
      <c r="M6" s="143"/>
      <c r="N6" s="143"/>
      <c r="O6" s="132">
        <f>SUM(C6:N6)</f>
        <v>187944.53</v>
      </c>
      <c r="P6" s="143">
        <v>322023</v>
      </c>
      <c r="Q6" s="132">
        <f>O6-P6</f>
        <v>-134078.47</v>
      </c>
      <c r="AG6" s="129">
        <v>5</v>
      </c>
      <c r="AH6" s="129" t="s">
        <v>1474</v>
      </c>
      <c r="AI6" s="131">
        <f>DATE(YEAR(INDEX($B$2:$N$24,INT((AG6+11)/12)+1,1)),IF(MOD(AG6,12)&lt;&gt;0,MOD(AG6,12),12),1)</f>
        <v>41030</v>
      </c>
      <c r="AJ6" s="129">
        <f>INDEX($C$3:$N$24,INT((AG6+11)/12),AG6-(12*(INT((AG6+11)/12)-1)))</f>
        <v>175396.57</v>
      </c>
      <c r="AK6" s="129">
        <f t="array" ref="AK6">INDEX($P$3:$P$24,MATCH(AM6&amp;YEAR(AI6),$A$3:$A$24&amp;YEAR($B$3:$B$24),0))</f>
        <v>2269948</v>
      </c>
      <c r="AL6" s="129" t="s">
        <v>1476</v>
      </c>
      <c r="AM6" s="129" t="str">
        <f>INDEX($A$3:$A$24,INT((AG6+11)/12))</f>
        <v>Sales Tax (313-10)</v>
      </c>
    </row>
    <row r="7" spans="1:39" x14ac:dyDescent="0.25">
      <c r="A7" s="140" t="s">
        <v>1496</v>
      </c>
      <c r="B7" s="133">
        <v>40909</v>
      </c>
      <c r="C7" s="143">
        <v>0</v>
      </c>
      <c r="D7" s="143">
        <v>0</v>
      </c>
      <c r="E7" s="143">
        <v>0</v>
      </c>
      <c r="F7" s="143">
        <v>0</v>
      </c>
      <c r="G7" s="143">
        <v>0</v>
      </c>
      <c r="H7" s="143">
        <v>0</v>
      </c>
      <c r="I7" s="143">
        <v>0</v>
      </c>
      <c r="J7" s="143">
        <v>0</v>
      </c>
      <c r="K7" s="143">
        <v>0</v>
      </c>
      <c r="L7" s="143">
        <v>0</v>
      </c>
      <c r="M7" s="143">
        <v>0</v>
      </c>
      <c r="N7" s="129">
        <v>8682.44</v>
      </c>
      <c r="O7" s="132">
        <f>SUM(C7:N7)</f>
        <v>8682.44</v>
      </c>
      <c r="P7" s="143">
        <v>0</v>
      </c>
      <c r="Q7" s="132">
        <f>O7-P7</f>
        <v>8682.44</v>
      </c>
      <c r="AG7" s="129">
        <v>6</v>
      </c>
      <c r="AH7" s="129" t="s">
        <v>1474</v>
      </c>
      <c r="AI7" s="131">
        <f>DATE(YEAR(INDEX($B$2:$N$24,INT((AG7+11)/12)+1,1)),IF(MOD(AG7,12)&lt;&gt;0,MOD(AG7,12),12),1)</f>
        <v>41061</v>
      </c>
      <c r="AJ7" s="129">
        <f>INDEX($C$3:$N$24,INT((AG7+11)/12),AG7-(12*(INT((AG7+11)/12)-1)))</f>
        <v>192730.7</v>
      </c>
      <c r="AK7" s="129">
        <f t="array" ref="AK7">INDEX($P$3:$P$24,MATCH(AM7&amp;YEAR(AI7),$A$3:$A$24&amp;YEAR($B$3:$B$24),0))</f>
        <v>2269948</v>
      </c>
      <c r="AL7" s="129" t="s">
        <v>1476</v>
      </c>
      <c r="AM7" s="129" t="str">
        <f>INDEX($A$3:$A$24,INT((AG7+11)/12))</f>
        <v>Sales Tax (313-10)</v>
      </c>
    </row>
    <row r="8" spans="1:39" x14ac:dyDescent="0.25">
      <c r="A8" s="140" t="s">
        <v>1496</v>
      </c>
      <c r="B8" s="133">
        <v>41275</v>
      </c>
      <c r="C8" s="143"/>
      <c r="D8" s="143"/>
      <c r="E8" s="143">
        <v>0</v>
      </c>
      <c r="F8" s="143">
        <v>0</v>
      </c>
      <c r="G8" s="143">
        <v>0</v>
      </c>
      <c r="H8" s="143"/>
      <c r="I8" s="143"/>
      <c r="J8" s="143"/>
      <c r="K8" s="143"/>
      <c r="L8" s="143"/>
      <c r="M8" s="143"/>
      <c r="N8" s="143"/>
      <c r="O8" s="132">
        <f>SUM(C8:N8)</f>
        <v>0</v>
      </c>
      <c r="P8" s="143"/>
      <c r="Q8" s="132">
        <f>O8-P8</f>
        <v>0</v>
      </c>
      <c r="AG8" s="129">
        <v>7</v>
      </c>
      <c r="AH8" s="129" t="s">
        <v>1474</v>
      </c>
      <c r="AI8" s="131">
        <f>DATE(YEAR(INDEX($B$2:$N$24,INT((AG8+11)/12)+1,1)),IF(MOD(AG8,12)&lt;&gt;0,MOD(AG8,12),12),1)</f>
        <v>41091</v>
      </c>
      <c r="AJ8" s="129">
        <f>INDEX($C$3:$N$24,INT((AG8+11)/12),AG8-(12*(INT((AG8+11)/12)-1)))</f>
        <v>210542.91</v>
      </c>
      <c r="AK8" s="129">
        <f t="array" ref="AK8">INDEX($P$3:$P$24,MATCH(AM8&amp;YEAR(AI8),$A$3:$A$24&amp;YEAR($B$3:$B$24),0))</f>
        <v>2269948</v>
      </c>
      <c r="AL8" s="129" t="s">
        <v>1476</v>
      </c>
      <c r="AM8" s="129" t="str">
        <f>INDEX($A$3:$A$24,INT((AG8+11)/12))</f>
        <v>Sales Tax (313-10)</v>
      </c>
    </row>
    <row r="9" spans="1:39" x14ac:dyDescent="0.25">
      <c r="A9" s="140" t="s">
        <v>1495</v>
      </c>
      <c r="B9" s="133">
        <v>40909</v>
      </c>
      <c r="C9" s="143">
        <v>0</v>
      </c>
      <c r="D9" s="143">
        <v>0</v>
      </c>
      <c r="E9" s="143">
        <v>0</v>
      </c>
      <c r="F9" s="143">
        <v>0</v>
      </c>
      <c r="G9" s="143">
        <v>0</v>
      </c>
      <c r="H9" s="143">
        <v>0</v>
      </c>
      <c r="I9" s="143">
        <v>0</v>
      </c>
      <c r="J9" s="143">
        <v>0</v>
      </c>
      <c r="K9" s="143">
        <v>0</v>
      </c>
      <c r="L9" s="143">
        <v>0</v>
      </c>
      <c r="M9" s="143">
        <v>0</v>
      </c>
      <c r="N9" s="129">
        <v>12617.79</v>
      </c>
      <c r="O9" s="132">
        <f>SUM(C9:N9)</f>
        <v>12617.79</v>
      </c>
      <c r="P9" s="143">
        <v>0</v>
      </c>
      <c r="Q9" s="132">
        <f>O9-P9</f>
        <v>12617.79</v>
      </c>
      <c r="AG9" s="129">
        <v>8</v>
      </c>
      <c r="AH9" s="129" t="s">
        <v>1474</v>
      </c>
      <c r="AI9" s="131">
        <f>DATE(YEAR(INDEX($B$2:$N$24,INT((AG9+11)/12)+1,1)),IF(MOD(AG9,12)&lt;&gt;0,MOD(AG9,12),12),1)</f>
        <v>41122</v>
      </c>
      <c r="AJ9" s="129">
        <f>INDEX($C$3:$N$24,INT((AG9+11)/12),AG9-(12*(INT((AG9+11)/12)-1)))</f>
        <v>186995.25</v>
      </c>
      <c r="AK9" s="129">
        <f t="array" ref="AK9">INDEX($P$3:$P$24,MATCH(AM9&amp;YEAR(AI9),$A$3:$A$24&amp;YEAR($B$3:$B$24),0))</f>
        <v>2269948</v>
      </c>
      <c r="AL9" s="129" t="s">
        <v>1476</v>
      </c>
      <c r="AM9" s="129" t="str">
        <f>INDEX($A$3:$A$24,INT((AG9+11)/12))</f>
        <v>Sales Tax (313-10)</v>
      </c>
    </row>
    <row r="10" spans="1:39" x14ac:dyDescent="0.25">
      <c r="A10" s="140" t="s">
        <v>1495</v>
      </c>
      <c r="B10" s="133">
        <v>41275</v>
      </c>
      <c r="C10" s="143"/>
      <c r="D10" s="143"/>
      <c r="E10" s="143">
        <v>0</v>
      </c>
      <c r="F10" s="143">
        <v>0</v>
      </c>
      <c r="G10" s="143">
        <v>0</v>
      </c>
      <c r="H10" s="143"/>
      <c r="I10" s="143"/>
      <c r="J10" s="143"/>
      <c r="K10" s="143"/>
      <c r="L10" s="143"/>
      <c r="M10" s="143"/>
      <c r="N10" s="143"/>
      <c r="O10" s="132">
        <f>SUM(C10:N10)</f>
        <v>0</v>
      </c>
      <c r="P10" s="143"/>
      <c r="Q10" s="132">
        <f>O10-P10</f>
        <v>0</v>
      </c>
      <c r="AG10" s="129">
        <v>9</v>
      </c>
      <c r="AH10" s="129" t="s">
        <v>1474</v>
      </c>
      <c r="AI10" s="131">
        <f>DATE(YEAR(INDEX($B$2:$N$24,INT((AG10+11)/12)+1,1)),IF(MOD(AG10,12)&lt;&gt;0,MOD(AG10,12),12),1)</f>
        <v>41153</v>
      </c>
      <c r="AJ10" s="129">
        <f>INDEX($C$3:$N$24,INT((AG10+11)/12),AG10-(12*(INT((AG10+11)/12)-1)))</f>
        <v>193126.16</v>
      </c>
      <c r="AK10" s="129">
        <f t="array" ref="AK10">INDEX($P$3:$P$24,MATCH(AM10&amp;YEAR(AI10),$A$3:$A$24&amp;YEAR($B$3:$B$24),0))</f>
        <v>2269948</v>
      </c>
      <c r="AL10" s="129" t="s">
        <v>1476</v>
      </c>
      <c r="AM10" s="129" t="str">
        <f>INDEX($A$3:$A$24,INT((AG10+11)/12))</f>
        <v>Sales Tax (313-10)</v>
      </c>
    </row>
    <row r="11" spans="1:39" x14ac:dyDescent="0.25">
      <c r="A11" s="134" t="s">
        <v>1486</v>
      </c>
      <c r="B11" s="133">
        <v>40909</v>
      </c>
      <c r="C11" s="143">
        <v>0</v>
      </c>
      <c r="D11" s="143">
        <v>0</v>
      </c>
      <c r="E11" s="143">
        <v>0</v>
      </c>
      <c r="F11" s="143">
        <v>0</v>
      </c>
      <c r="G11" s="143">
        <v>0</v>
      </c>
      <c r="H11" s="143">
        <v>0</v>
      </c>
      <c r="I11" s="143">
        <v>0</v>
      </c>
      <c r="J11" s="143">
        <v>0</v>
      </c>
      <c r="K11" s="143">
        <v>0</v>
      </c>
      <c r="L11" s="143">
        <v>0</v>
      </c>
      <c r="M11" s="143">
        <v>0</v>
      </c>
      <c r="N11" s="143">
        <v>0</v>
      </c>
      <c r="O11" s="132">
        <f>SUM(C11:N11)</f>
        <v>0</v>
      </c>
      <c r="P11" s="143">
        <v>0</v>
      </c>
      <c r="Q11" s="132">
        <f>O11-P11</f>
        <v>0</v>
      </c>
      <c r="AG11" s="129">
        <v>10</v>
      </c>
      <c r="AH11" s="129" t="s">
        <v>1474</v>
      </c>
      <c r="AI11" s="131">
        <f>DATE(YEAR(INDEX($B$2:$N$24,INT((AG11+11)/12)+1,1)),IF(MOD(AG11,12)&lt;&gt;0,MOD(AG11,12),12),1)</f>
        <v>41183</v>
      </c>
      <c r="AJ11" s="129">
        <f>INDEX($C$3:$N$24,INT((AG11+11)/12),AG11-(12*(INT((AG11+11)/12)-1)))</f>
        <v>201075.42</v>
      </c>
      <c r="AK11" s="129">
        <f t="array" ref="AK11">INDEX($P$3:$P$24,MATCH(AM11&amp;YEAR(AI11),$A$3:$A$24&amp;YEAR($B$3:$B$24),0))</f>
        <v>2269948</v>
      </c>
      <c r="AL11" s="129" t="s">
        <v>1476</v>
      </c>
      <c r="AM11" s="129" t="str">
        <f>INDEX($A$3:$A$24,INT((AG11+11)/12))</f>
        <v>Sales Tax (313-10)</v>
      </c>
    </row>
    <row r="12" spans="1:39" x14ac:dyDescent="0.25">
      <c r="A12" s="134" t="s">
        <v>1486</v>
      </c>
      <c r="B12" s="133">
        <v>41275</v>
      </c>
      <c r="C12" s="143">
        <v>0</v>
      </c>
      <c r="D12" s="143">
        <v>0</v>
      </c>
      <c r="E12" s="143">
        <v>0</v>
      </c>
      <c r="F12" s="143">
        <v>0</v>
      </c>
      <c r="G12" s="143">
        <v>0</v>
      </c>
      <c r="H12" s="143"/>
      <c r="I12" s="143"/>
      <c r="J12" s="143"/>
      <c r="K12" s="143"/>
      <c r="L12" s="143"/>
      <c r="M12" s="143"/>
      <c r="N12" s="143"/>
      <c r="O12" s="132">
        <f>SUM(C12:N12)</f>
        <v>0</v>
      </c>
      <c r="P12" s="143">
        <v>0</v>
      </c>
      <c r="Q12" s="132">
        <f>O12-P12</f>
        <v>0</v>
      </c>
      <c r="AG12" s="129">
        <v>11</v>
      </c>
      <c r="AH12" s="129" t="s">
        <v>1474</v>
      </c>
      <c r="AI12" s="131">
        <f>DATE(YEAR(INDEX($B$2:$N$24,INT((AG12+11)/12)+1,1)),IF(MOD(AG12,12)&lt;&gt;0,MOD(AG12,12),12),1)</f>
        <v>41214</v>
      </c>
      <c r="AJ12" s="129">
        <f>INDEX($C$3:$N$24,INT((AG12+11)/12),AG12-(12*(INT((AG12+11)/12)-1)))</f>
        <v>183900.06</v>
      </c>
      <c r="AK12" s="129">
        <f t="array" ref="AK12">INDEX($P$3:$P$24,MATCH(AM12&amp;YEAR(AI12),$A$3:$A$24&amp;YEAR($B$3:$B$24),0))</f>
        <v>2269948</v>
      </c>
      <c r="AL12" s="129" t="s">
        <v>1476</v>
      </c>
      <c r="AM12" s="129" t="str">
        <f>INDEX($A$3:$A$24,INT((AG12+11)/12))</f>
        <v>Sales Tax (313-10)</v>
      </c>
    </row>
    <row r="13" spans="1:39" x14ac:dyDescent="0.25">
      <c r="A13" s="140" t="s">
        <v>1494</v>
      </c>
      <c r="B13" s="133">
        <v>40909</v>
      </c>
      <c r="C13" s="143">
        <v>0</v>
      </c>
      <c r="D13" s="143">
        <v>0</v>
      </c>
      <c r="E13" s="143">
        <v>0</v>
      </c>
      <c r="F13" s="143">
        <v>0</v>
      </c>
      <c r="G13" s="143">
        <v>0</v>
      </c>
      <c r="H13" s="143">
        <v>0</v>
      </c>
      <c r="I13" s="143">
        <v>0</v>
      </c>
      <c r="J13" s="143">
        <v>0</v>
      </c>
      <c r="K13" s="143">
        <v>0</v>
      </c>
      <c r="L13" s="143">
        <v>100</v>
      </c>
      <c r="M13" s="143">
        <v>0</v>
      </c>
      <c r="N13" s="143">
        <v>100</v>
      </c>
      <c r="O13" s="132">
        <f>SUM(C13:N13)</f>
        <v>200</v>
      </c>
      <c r="P13" s="143">
        <v>0</v>
      </c>
      <c r="Q13" s="132">
        <f>O13-P13</f>
        <v>200</v>
      </c>
      <c r="AG13" s="129">
        <v>12</v>
      </c>
      <c r="AH13" s="129" t="s">
        <v>1474</v>
      </c>
      <c r="AI13" s="131">
        <f>DATE(YEAR(INDEX($B$2:$N$24,INT((AG13+11)/12)+1,1)),IF(MOD(AG13,12)&lt;&gt;0,MOD(AG13,12),12),1)</f>
        <v>41244</v>
      </c>
      <c r="AJ13" s="129">
        <f>INDEX($C$3:$N$24,INT((AG13+11)/12),AG13-(12*(INT((AG13+11)/12)-1)))</f>
        <v>193134.43</v>
      </c>
      <c r="AK13" s="129">
        <f t="array" ref="AK13">INDEX($P$3:$P$24,MATCH(AM13&amp;YEAR(AI13),$A$3:$A$24&amp;YEAR($B$3:$B$24),0))</f>
        <v>2269948</v>
      </c>
      <c r="AL13" s="129" t="s">
        <v>1476</v>
      </c>
      <c r="AM13" s="129" t="str">
        <f>INDEX($A$3:$A$24,INT((AG13+11)/12))</f>
        <v>Sales Tax (313-10)</v>
      </c>
    </row>
    <row r="14" spans="1:39" x14ac:dyDescent="0.25">
      <c r="A14" s="140" t="s">
        <v>1494</v>
      </c>
      <c r="B14" s="133">
        <v>41275</v>
      </c>
      <c r="C14" s="143">
        <v>0</v>
      </c>
      <c r="D14" s="143">
        <v>0</v>
      </c>
      <c r="E14" s="143">
        <v>0</v>
      </c>
      <c r="F14" s="143">
        <v>0</v>
      </c>
      <c r="G14" s="143">
        <v>0</v>
      </c>
      <c r="H14" s="143"/>
      <c r="I14" s="143"/>
      <c r="J14" s="143"/>
      <c r="K14" s="143"/>
      <c r="L14" s="143"/>
      <c r="M14" s="143"/>
      <c r="N14" s="143"/>
      <c r="O14" s="132">
        <f>SUM(C14:N14)</f>
        <v>0</v>
      </c>
      <c r="P14" s="143">
        <v>2000</v>
      </c>
      <c r="Q14" s="132">
        <f>O14-P14</f>
        <v>-2000</v>
      </c>
      <c r="AG14" s="129">
        <v>13</v>
      </c>
      <c r="AH14" s="129" t="s">
        <v>1474</v>
      </c>
      <c r="AI14" s="131">
        <f>DATE(YEAR(INDEX($B$2:$N$24,INT((AG14+11)/12)+1,1)),IF(MOD(AG14,12)&lt;&gt;0,MOD(AG14,12),12),1)</f>
        <v>41275</v>
      </c>
      <c r="AJ14" s="129">
        <f>INDEX($C$3:$N$24,INT((AG14+11)/12),AG14-(12*(INT((AG14+11)/12)-1)))</f>
        <v>266761.83</v>
      </c>
      <c r="AK14" s="129">
        <f t="array" ref="AK14">INDEX($P$3:$P$24,MATCH(AM14&amp;YEAR(AI14),$A$3:$A$24&amp;YEAR($B$3:$B$24),0))</f>
        <v>2386855</v>
      </c>
      <c r="AL14" s="129" t="s">
        <v>1476</v>
      </c>
      <c r="AM14" s="129" t="str">
        <f>INDEX($A$3:$A$24,INT((AG14+11)/12))</f>
        <v>Sales Tax (313-10)</v>
      </c>
    </row>
    <row r="15" spans="1:39" x14ac:dyDescent="0.25">
      <c r="A15" s="140" t="s">
        <v>1493</v>
      </c>
      <c r="B15" s="133">
        <v>40909</v>
      </c>
      <c r="C15" s="143">
        <v>0</v>
      </c>
      <c r="D15" s="129">
        <v>4901.91</v>
      </c>
      <c r="E15" s="129">
        <v>5002.08</v>
      </c>
      <c r="F15" s="129">
        <v>4657.3</v>
      </c>
      <c r="G15" s="129">
        <v>4370.76</v>
      </c>
      <c r="H15" s="129">
        <v>3646.47</v>
      </c>
      <c r="I15" s="129">
        <v>3734.41</v>
      </c>
      <c r="J15" s="129">
        <v>3645.49</v>
      </c>
      <c r="K15" s="129">
        <v>3347.7</v>
      </c>
      <c r="L15" s="129">
        <v>3148.14</v>
      </c>
      <c r="M15" s="129">
        <v>2886.8</v>
      </c>
      <c r="N15" s="129">
        <v>4183.1100000000006</v>
      </c>
      <c r="O15" s="132">
        <f>SUM(C15:N15)</f>
        <v>43524.170000000006</v>
      </c>
      <c r="P15" s="143">
        <v>112500</v>
      </c>
      <c r="Q15" s="132">
        <f>O15-P15</f>
        <v>-68975.829999999987</v>
      </c>
      <c r="AG15" s="129">
        <v>14</v>
      </c>
      <c r="AH15" s="129" t="s">
        <v>1474</v>
      </c>
      <c r="AI15" s="131">
        <f>DATE(YEAR(INDEX($B$2:$N$24,INT((AG15+11)/12)+1,1)),IF(MOD(AG15,12)&lt;&gt;0,MOD(AG15,12),12),1)</f>
        <v>41306</v>
      </c>
      <c r="AJ15" s="129">
        <f>INDEX($C$3:$N$24,INT((AG15+11)/12),AG15-(12*(INT((AG15+11)/12)-1)))</f>
        <v>171290.7</v>
      </c>
      <c r="AK15" s="129">
        <f t="array" ref="AK15">INDEX($P$3:$P$24,MATCH(AM15&amp;YEAR(AI15),$A$3:$A$24&amp;YEAR($B$3:$B$24),0))</f>
        <v>2386855</v>
      </c>
      <c r="AL15" s="129" t="s">
        <v>1476</v>
      </c>
      <c r="AM15" s="129" t="str">
        <f>INDEX($A$3:$A$24,INT((AG15+11)/12))</f>
        <v>Sales Tax (313-10)</v>
      </c>
    </row>
    <row r="16" spans="1:39" x14ac:dyDescent="0.25">
      <c r="A16" s="140" t="s">
        <v>1493</v>
      </c>
      <c r="B16" s="133">
        <v>41275</v>
      </c>
      <c r="C16" s="143">
        <v>0</v>
      </c>
      <c r="D16" s="129">
        <v>1446.79</v>
      </c>
      <c r="E16" s="129">
        <v>1079.8400000000001</v>
      </c>
      <c r="F16" s="129">
        <v>1082.5700000000002</v>
      </c>
      <c r="G16" s="129">
        <v>1062.55</v>
      </c>
      <c r="H16" s="143"/>
      <c r="I16" s="143"/>
      <c r="J16" s="143"/>
      <c r="K16" s="143"/>
      <c r="L16" s="143"/>
      <c r="M16" s="143"/>
      <c r="N16" s="144"/>
      <c r="O16" s="132">
        <f>SUM(C16:N16)</f>
        <v>4671.75</v>
      </c>
      <c r="P16" s="143">
        <v>116800</v>
      </c>
      <c r="Q16" s="132">
        <f>O16-P16</f>
        <v>-112128.25</v>
      </c>
      <c r="AG16" s="129">
        <v>15</v>
      </c>
      <c r="AH16" s="129" t="s">
        <v>1474</v>
      </c>
      <c r="AI16" s="131">
        <f>DATE(YEAR(INDEX($B$2:$N$24,INT((AG16+11)/12)+1,1)),IF(MOD(AG16,12)&lt;&gt;0,MOD(AG16,12),12),1)</f>
        <v>41334</v>
      </c>
      <c r="AJ16" s="129">
        <f>INDEX($C$3:$N$24,INT((AG16+11)/12),AG16-(12*(INT((AG16+11)/12)-1)))</f>
        <v>174095.89</v>
      </c>
      <c r="AK16" s="129">
        <f t="array" ref="AK16">INDEX($P$3:$P$24,MATCH(AM16&amp;YEAR(AI16),$A$3:$A$24&amp;YEAR($B$3:$B$24),0))</f>
        <v>2386855</v>
      </c>
      <c r="AL16" s="129" t="s">
        <v>1476</v>
      </c>
      <c r="AM16" s="129" t="str">
        <f>INDEX($A$3:$A$24,INT((AG16+11)/12))</f>
        <v>Sales Tax (313-10)</v>
      </c>
    </row>
    <row r="17" spans="1:39" x14ac:dyDescent="0.25">
      <c r="A17" s="140" t="s">
        <v>1492</v>
      </c>
      <c r="B17" s="133">
        <v>40909</v>
      </c>
      <c r="C17" s="143">
        <v>0</v>
      </c>
      <c r="D17" s="143">
        <v>0</v>
      </c>
      <c r="E17" s="143">
        <v>0</v>
      </c>
      <c r="F17" s="143">
        <v>0</v>
      </c>
      <c r="G17" s="143">
        <v>0</v>
      </c>
      <c r="H17" s="143">
        <v>0</v>
      </c>
      <c r="I17" s="143">
        <v>0</v>
      </c>
      <c r="J17" s="143">
        <v>0</v>
      </c>
      <c r="K17" s="143">
        <v>0</v>
      </c>
      <c r="L17" s="143">
        <v>0</v>
      </c>
      <c r="M17" s="143">
        <v>3756.4</v>
      </c>
      <c r="N17" s="144">
        <v>6274.4</v>
      </c>
      <c r="O17" s="132">
        <f>SUM(C17:N17)</f>
        <v>10030.799999999999</v>
      </c>
      <c r="P17" s="143">
        <v>0</v>
      </c>
      <c r="Q17" s="132">
        <f>O17-P17</f>
        <v>10030.799999999999</v>
      </c>
      <c r="AG17" s="129">
        <v>16</v>
      </c>
      <c r="AH17" s="129" t="s">
        <v>1474</v>
      </c>
      <c r="AI17" s="131">
        <f>DATE(YEAR(INDEX($B$2:$N$24,INT((AG17+11)/12)+1,1)),IF(MOD(AG17,12)&lt;&gt;0,MOD(AG17,12),12),1)</f>
        <v>41365</v>
      </c>
      <c r="AJ17" s="129">
        <f>INDEX($C$3:$N$24,INT((AG17+11)/12),AG17-(12*(INT((AG17+11)/12)-1)))</f>
        <v>219527.08</v>
      </c>
      <c r="AK17" s="129">
        <f t="array" ref="AK17">INDEX($P$3:$P$24,MATCH(AM17&amp;YEAR(AI17),$A$3:$A$24&amp;YEAR($B$3:$B$24),0))</f>
        <v>2386855</v>
      </c>
      <c r="AL17" s="129" t="s">
        <v>1476</v>
      </c>
      <c r="AM17" s="129" t="str">
        <f>INDEX($A$3:$A$24,INT((AG17+11)/12))</f>
        <v>Sales Tax (313-10)</v>
      </c>
    </row>
    <row r="18" spans="1:39" x14ac:dyDescent="0.25">
      <c r="A18" s="140" t="s">
        <v>1492</v>
      </c>
      <c r="B18" s="133">
        <v>41275</v>
      </c>
      <c r="C18" s="143"/>
      <c r="D18" s="143"/>
      <c r="E18" s="143">
        <v>165.78</v>
      </c>
      <c r="F18" s="143">
        <v>174.95</v>
      </c>
      <c r="G18" s="143">
        <v>161.86000000000001</v>
      </c>
      <c r="H18" s="143"/>
      <c r="I18" s="143"/>
      <c r="J18" s="143"/>
      <c r="K18" s="143"/>
      <c r="L18" s="143"/>
      <c r="M18" s="143"/>
      <c r="N18" s="143"/>
      <c r="O18" s="132">
        <f>SUM(C18:N18)</f>
        <v>502.59000000000003</v>
      </c>
      <c r="P18" s="143"/>
      <c r="Q18" s="132">
        <f>O18-P18</f>
        <v>502.59000000000003</v>
      </c>
      <c r="AG18" s="129">
        <v>17</v>
      </c>
      <c r="AH18" s="129" t="s">
        <v>1474</v>
      </c>
      <c r="AI18" s="131">
        <f>DATE(YEAR(INDEX($B$2:$N$24,INT((AG18+11)/12)+1,1)),IF(MOD(AG18,12)&lt;&gt;0,MOD(AG18,12),12),1)</f>
        <v>41395</v>
      </c>
      <c r="AJ18" s="129">
        <f>INDEX($C$3:$N$24,INT((AG18+11)/12),AG18-(12*(INT((AG18+11)/12)-1)))</f>
        <v>192993.08</v>
      </c>
      <c r="AK18" s="129">
        <f t="array" ref="AK18">INDEX($P$3:$P$24,MATCH(AM18&amp;YEAR(AI18),$A$3:$A$24&amp;YEAR($B$3:$B$24),0))</f>
        <v>2386855</v>
      </c>
      <c r="AL18" s="129" t="s">
        <v>1476</v>
      </c>
      <c r="AM18" s="129" t="str">
        <f>INDEX($A$3:$A$24,INT((AG18+11)/12))</f>
        <v>Sales Tax (313-10)</v>
      </c>
    </row>
    <row r="19" spans="1:39" x14ac:dyDescent="0.25">
      <c r="A19" s="140" t="s">
        <v>1491</v>
      </c>
      <c r="B19" s="133">
        <v>40909</v>
      </c>
      <c r="C19" s="143">
        <v>0</v>
      </c>
      <c r="D19" s="143">
        <v>0</v>
      </c>
      <c r="E19" s="143">
        <v>0</v>
      </c>
      <c r="F19" s="143">
        <v>0</v>
      </c>
      <c r="G19" s="143">
        <v>0</v>
      </c>
      <c r="H19" s="143">
        <v>0</v>
      </c>
      <c r="I19" s="143">
        <v>0</v>
      </c>
      <c r="J19" s="143">
        <v>0</v>
      </c>
      <c r="K19" s="143">
        <v>0</v>
      </c>
      <c r="L19" s="143">
        <v>0</v>
      </c>
      <c r="M19" s="143">
        <v>0</v>
      </c>
      <c r="N19" s="143">
        <v>-23690.68</v>
      </c>
      <c r="O19" s="132">
        <f>SUM(C19:N19)</f>
        <v>-23690.68</v>
      </c>
      <c r="P19" s="143">
        <v>0</v>
      </c>
      <c r="Q19" s="132">
        <f>O19-P19</f>
        <v>-23690.68</v>
      </c>
      <c r="AG19" s="129">
        <v>18</v>
      </c>
      <c r="AH19" s="129" t="s">
        <v>1474</v>
      </c>
      <c r="AI19" s="131">
        <f>DATE(YEAR(INDEX($B$2:$N$24,INT((AG19+11)/12)+1,1)),IF(MOD(AG19,12)&lt;&gt;0,MOD(AG19,12),12),1)</f>
        <v>41426</v>
      </c>
      <c r="AJ19" s="129">
        <f>INDEX($C$3:$N$24,INT((AG19+11)/12),AG19-(12*(INT((AG19+11)/12)-1)))</f>
        <v>0</v>
      </c>
      <c r="AK19" s="129">
        <f t="array" ref="AK19">INDEX($P$3:$P$24,MATCH(AM19&amp;YEAR(AI19),$A$3:$A$24&amp;YEAR($B$3:$B$24),0))</f>
        <v>2386855</v>
      </c>
      <c r="AL19" s="129" t="s">
        <v>1476</v>
      </c>
      <c r="AM19" s="129" t="str">
        <f>INDEX($A$3:$A$24,INT((AG19+11)/12))</f>
        <v>Sales Tax (313-10)</v>
      </c>
    </row>
    <row r="20" spans="1:39" x14ac:dyDescent="0.25">
      <c r="A20" s="140" t="s">
        <v>1491</v>
      </c>
      <c r="B20" s="133">
        <v>41275</v>
      </c>
      <c r="C20" s="143"/>
      <c r="D20" s="143"/>
      <c r="E20" s="143">
        <v>0</v>
      </c>
      <c r="F20" s="143">
        <v>0</v>
      </c>
      <c r="G20" s="143">
        <v>0</v>
      </c>
      <c r="H20" s="143"/>
      <c r="I20" s="143"/>
      <c r="J20" s="143"/>
      <c r="K20" s="143"/>
      <c r="L20" s="143"/>
      <c r="M20" s="143"/>
      <c r="N20" s="143"/>
      <c r="O20" s="132">
        <f>SUM(C20:N20)</f>
        <v>0</v>
      </c>
      <c r="P20" s="143"/>
      <c r="Q20" s="132">
        <f>O20-P20</f>
        <v>0</v>
      </c>
      <c r="AG20" s="129">
        <v>19</v>
      </c>
      <c r="AH20" s="129" t="s">
        <v>1474</v>
      </c>
      <c r="AI20" s="131">
        <f>DATE(YEAR(INDEX($B$2:$N$24,INT((AG20+11)/12)+1,1)),IF(MOD(AG20,12)&lt;&gt;0,MOD(AG20,12),12),1)</f>
        <v>41456</v>
      </c>
      <c r="AJ20" s="129">
        <f>INDEX($C$3:$N$24,INT((AG20+11)/12),AG20-(12*(INT((AG20+11)/12)-1)))</f>
        <v>0</v>
      </c>
      <c r="AK20" s="129">
        <f t="array" ref="AK20">INDEX($P$3:$P$24,MATCH(AM20&amp;YEAR(AI20),$A$3:$A$24&amp;YEAR($B$3:$B$24),0))</f>
        <v>2386855</v>
      </c>
      <c r="AL20" s="129" t="s">
        <v>1476</v>
      </c>
      <c r="AM20" s="129" t="str">
        <f>INDEX($A$3:$A$24,INT((AG20+11)/12))</f>
        <v>Sales Tax (313-10)</v>
      </c>
    </row>
    <row r="21" spans="1:39" x14ac:dyDescent="0.25">
      <c r="A21" s="140" t="s">
        <v>1490</v>
      </c>
      <c r="B21" s="133">
        <v>40909</v>
      </c>
      <c r="C21" s="143">
        <v>0</v>
      </c>
      <c r="D21" s="143">
        <v>0</v>
      </c>
      <c r="E21" s="143">
        <v>12500</v>
      </c>
      <c r="F21" s="143">
        <v>0</v>
      </c>
      <c r="G21" s="143">
        <v>865.11</v>
      </c>
      <c r="H21" s="143">
        <v>338</v>
      </c>
      <c r="I21" s="143">
        <v>114</v>
      </c>
      <c r="J21" s="143">
        <v>6413.5</v>
      </c>
      <c r="K21" s="143">
        <v>-347.93</v>
      </c>
      <c r="L21" s="143">
        <v>16188.72</v>
      </c>
      <c r="M21" s="143">
        <v>23816.28</v>
      </c>
      <c r="N21" s="143">
        <v>14494.4</v>
      </c>
      <c r="O21" s="132">
        <f>SUM(C21:N21)</f>
        <v>74382.080000000002</v>
      </c>
      <c r="P21" s="143">
        <v>30000</v>
      </c>
      <c r="Q21" s="132">
        <f>O21-P21</f>
        <v>44382.080000000002</v>
      </c>
      <c r="AG21" s="129">
        <v>20</v>
      </c>
      <c r="AH21" s="129" t="s">
        <v>1474</v>
      </c>
      <c r="AI21" s="131">
        <f>DATE(YEAR(INDEX($B$2:$N$24,INT((AG21+11)/12)+1,1)),IF(MOD(AG21,12)&lt;&gt;0,MOD(AG21,12),12),1)</f>
        <v>41487</v>
      </c>
      <c r="AJ21" s="129">
        <f>INDEX($C$3:$N$24,INT((AG21+11)/12),AG21-(12*(INT((AG21+11)/12)-1)))</f>
        <v>0</v>
      </c>
      <c r="AK21" s="129">
        <f t="array" ref="AK21">INDEX($P$3:$P$24,MATCH(AM21&amp;YEAR(AI21),$A$3:$A$24&amp;YEAR($B$3:$B$24),0))</f>
        <v>2386855</v>
      </c>
      <c r="AL21" s="129" t="s">
        <v>1476</v>
      </c>
      <c r="AM21" s="129" t="str">
        <f>INDEX($A$3:$A$24,INT((AG21+11)/12))</f>
        <v>Sales Tax (313-10)</v>
      </c>
    </row>
    <row r="22" spans="1:39" x14ac:dyDescent="0.25">
      <c r="A22" s="140" t="s">
        <v>1490</v>
      </c>
      <c r="B22" s="133">
        <v>41275</v>
      </c>
      <c r="C22" s="143">
        <v>-137.19999999999999</v>
      </c>
      <c r="D22" s="143">
        <v>-132.79</v>
      </c>
      <c r="E22" s="143">
        <v>-130.33000000000001</v>
      </c>
      <c r="F22" s="143">
        <v>55896.18</v>
      </c>
      <c r="G22" s="143">
        <v>0</v>
      </c>
      <c r="H22" s="143"/>
      <c r="I22" s="143"/>
      <c r="J22" s="143"/>
      <c r="K22" s="143"/>
      <c r="L22" s="143"/>
      <c r="M22" s="143"/>
      <c r="N22" s="143"/>
      <c r="O22" s="132">
        <f>SUM(C22:N22)</f>
        <v>55495.86</v>
      </c>
      <c r="P22" s="143">
        <v>35000</v>
      </c>
      <c r="Q22" s="132">
        <f>O22-P22</f>
        <v>20495.86</v>
      </c>
      <c r="AG22" s="129">
        <v>21</v>
      </c>
      <c r="AH22" s="129" t="s">
        <v>1474</v>
      </c>
      <c r="AI22" s="131">
        <f>DATE(YEAR(INDEX($B$2:$N$24,INT((AG22+11)/12)+1,1)),IF(MOD(AG22,12)&lt;&gt;0,MOD(AG22,12),12),1)</f>
        <v>41518</v>
      </c>
      <c r="AJ22" s="129">
        <f>INDEX($C$3:$N$24,INT((AG22+11)/12),AG22-(12*(INT((AG22+11)/12)-1)))</f>
        <v>0</v>
      </c>
      <c r="AK22" s="129">
        <f t="array" ref="AK22">INDEX($P$3:$P$24,MATCH(AM22&amp;YEAR(AI22),$A$3:$A$24&amp;YEAR($B$3:$B$24),0))</f>
        <v>2386855</v>
      </c>
      <c r="AL22" s="129" t="s">
        <v>1476</v>
      </c>
      <c r="AM22" s="129" t="str">
        <f>INDEX($A$3:$A$24,INT((AG22+11)/12))</f>
        <v>Sales Tax (313-10)</v>
      </c>
    </row>
    <row r="23" spans="1:39" x14ac:dyDescent="0.25">
      <c r="A23" s="140" t="s">
        <v>1489</v>
      </c>
      <c r="B23" s="133">
        <v>40909</v>
      </c>
      <c r="C23" s="143">
        <v>0</v>
      </c>
      <c r="D23" s="143">
        <v>0</v>
      </c>
      <c r="E23" s="143">
        <v>0</v>
      </c>
      <c r="F23" s="143">
        <v>0</v>
      </c>
      <c r="G23" s="143">
        <v>0</v>
      </c>
      <c r="H23" s="143">
        <v>0</v>
      </c>
      <c r="I23" s="143">
        <v>0</v>
      </c>
      <c r="J23" s="143">
        <v>0</v>
      </c>
      <c r="K23" s="143">
        <v>0</v>
      </c>
      <c r="L23" s="143">
        <v>29947173.149999999</v>
      </c>
      <c r="M23" s="143">
        <v>0</v>
      </c>
      <c r="N23" s="143">
        <v>0</v>
      </c>
      <c r="O23" s="132">
        <f>SUM(C23:N23)</f>
        <v>29947173.149999999</v>
      </c>
      <c r="P23" s="143">
        <v>21934381</v>
      </c>
      <c r="Q23" s="132">
        <f>O23-P23</f>
        <v>8012792.1499999985</v>
      </c>
      <c r="AG23" s="129">
        <v>22</v>
      </c>
      <c r="AH23" s="129" t="s">
        <v>1474</v>
      </c>
      <c r="AI23" s="131">
        <f>DATE(YEAR(INDEX($B$2:$N$24,INT((AG23+11)/12)+1,1)),IF(MOD(AG23,12)&lt;&gt;0,MOD(AG23,12),12),1)</f>
        <v>41548</v>
      </c>
      <c r="AJ23" s="129">
        <f>INDEX($C$3:$N$24,INT((AG23+11)/12),AG23-(12*(INT((AG23+11)/12)-1)))</f>
        <v>0</v>
      </c>
      <c r="AK23" s="129">
        <f t="array" ref="AK23">INDEX($P$3:$P$24,MATCH(AM23&amp;YEAR(AI23),$A$3:$A$24&amp;YEAR($B$3:$B$24),0))</f>
        <v>2386855</v>
      </c>
      <c r="AL23" s="129" t="s">
        <v>1476</v>
      </c>
      <c r="AM23" s="129" t="str">
        <f>INDEX($A$3:$A$24,INT((AG23+11)/12))</f>
        <v>Sales Tax (313-10)</v>
      </c>
    </row>
    <row r="24" spans="1:39" x14ac:dyDescent="0.25">
      <c r="A24" s="140" t="s">
        <v>1489</v>
      </c>
      <c r="B24" s="133">
        <v>41275</v>
      </c>
      <c r="C24" s="143">
        <v>0</v>
      </c>
      <c r="D24" s="143">
        <v>0</v>
      </c>
      <c r="E24" s="143">
        <v>0</v>
      </c>
      <c r="F24" s="143">
        <v>0</v>
      </c>
      <c r="G24" s="143">
        <v>0</v>
      </c>
      <c r="H24" s="143"/>
      <c r="I24" s="143"/>
      <c r="J24" s="143"/>
      <c r="K24" s="143"/>
      <c r="L24" s="143"/>
      <c r="M24" s="143"/>
      <c r="N24" s="143"/>
      <c r="O24" s="132">
        <f>SUM(C24:N24)</f>
        <v>0</v>
      </c>
      <c r="P24" s="143">
        <v>0</v>
      </c>
      <c r="Q24" s="132">
        <f>O24-P24</f>
        <v>0</v>
      </c>
      <c r="AG24" s="129">
        <v>23</v>
      </c>
      <c r="AH24" s="129" t="s">
        <v>1474</v>
      </c>
      <c r="AI24" s="131">
        <f>DATE(YEAR(INDEX($B$2:$N$24,INT((AG24+11)/12)+1,1)),IF(MOD(AG24,12)&lt;&gt;0,MOD(AG24,12),12),1)</f>
        <v>41579</v>
      </c>
      <c r="AJ24" s="129">
        <f>INDEX($C$3:$N$24,INT((AG24+11)/12),AG24-(12*(INT((AG24+11)/12)-1)))</f>
        <v>0</v>
      </c>
      <c r="AK24" s="129">
        <f t="array" ref="AK24">INDEX($P$3:$P$24,MATCH(AM24&amp;YEAR(AI24),$A$3:$A$24&amp;YEAR($B$3:$B$24),0))</f>
        <v>2386855</v>
      </c>
      <c r="AL24" s="129" t="s">
        <v>1476</v>
      </c>
      <c r="AM24" s="129" t="str">
        <f>INDEX($A$3:$A$24,INT((AG24+11)/12))</f>
        <v>Sales Tax (313-10)</v>
      </c>
    </row>
    <row r="25" spans="1:39" x14ac:dyDescent="0.25">
      <c r="A25" s="140" t="s">
        <v>1488</v>
      </c>
      <c r="B25" s="133">
        <v>40909</v>
      </c>
      <c r="C25" s="132">
        <f>SUM(C3+C5+C7+C9+C11+C13+C15+C17+C19+C21+C23)</f>
        <v>288335.13</v>
      </c>
      <c r="D25" s="132">
        <f>SUM(D3+D5+D7+D9+D11+D13+D15+D17+D19+D21+D23)</f>
        <v>198403.06999999998</v>
      </c>
      <c r="E25" s="132">
        <f>SUM(E3+E5+E7+E9+E11+E13+E15+E17+E19+E21+E23)</f>
        <v>210855.71</v>
      </c>
      <c r="F25" s="132">
        <f>SUM(F3+F5+F7+F9+F11+F13+F15+F17+F19+F21+F23)</f>
        <v>232566.07999999996</v>
      </c>
      <c r="G25" s="132">
        <f>SUM(G3+G5+G7+G9+G11+G13+G15+G17+G19+G21+G23)</f>
        <v>210061.76</v>
      </c>
      <c r="H25" s="132">
        <f>SUM(H3+H5+H7+H9+H11+H13+H15+H17+H19+H21+H23)</f>
        <v>252594.39</v>
      </c>
      <c r="I25" s="132">
        <f>SUM(I3+I5+I7+I9+I11+I13+I15+I17+I19+I21+I23)</f>
        <v>244054.06</v>
      </c>
      <c r="J25" s="132">
        <f>SUM(J3+J5+J7+J9+J11+J13+J15+J17+J19+J21+J23)</f>
        <v>222753.41999999998</v>
      </c>
      <c r="K25" s="132">
        <f>SUM(K3+K5+K7+K9+K11+K13+K15+K17+K19+K21+K23)</f>
        <v>227387.72000000003</v>
      </c>
      <c r="L25" s="132">
        <f>SUM(L3+L5+L7+L9+L11+L13+L15+L17+L19+L21+L23)</f>
        <v>30204885.18</v>
      </c>
      <c r="M25" s="132">
        <f>SUM(M3+M5+M7+M9+M11+M13+M15+M17+M19+M21+M23)</f>
        <v>243222.06999999998</v>
      </c>
      <c r="N25" s="132">
        <f>SUM(N3+N5+N7+N9+N11+N13+N15+N17+N19+N21+N23)</f>
        <v>246479.16999999998</v>
      </c>
      <c r="O25" s="132">
        <f>SUM(C25:N25)</f>
        <v>32781597.760000002</v>
      </c>
      <c r="P25" s="132">
        <f>SUM(P3+P5+P7+P9+P11+P13+P15+P17+P19+P21+P23)</f>
        <v>24673697</v>
      </c>
      <c r="Q25" s="132">
        <f>O25-P25</f>
        <v>8107900.7600000016</v>
      </c>
      <c r="Y25" s="141"/>
      <c r="Z25" s="141"/>
      <c r="AA25" s="141"/>
      <c r="AB25" s="141"/>
      <c r="AC25" s="141"/>
      <c r="AD25" s="141"/>
      <c r="AE25" s="141"/>
      <c r="AG25" s="129">
        <v>24</v>
      </c>
      <c r="AH25" s="129" t="s">
        <v>1474</v>
      </c>
      <c r="AI25" s="131">
        <f>DATE(YEAR(INDEX($B$2:$N$24,INT((AG25+11)/12)+1,1)),IF(MOD(AG25,12)&lt;&gt;0,MOD(AG25,12),12),1)</f>
        <v>41609</v>
      </c>
      <c r="AJ25" s="129">
        <f>INDEX($C$3:$N$24,INT((AG25+11)/12),AG25-(12*(INT((AG25+11)/12)-1)))</f>
        <v>0</v>
      </c>
      <c r="AK25" s="129">
        <f t="array" ref="AK25">INDEX($P$3:$P$24,MATCH(AM25&amp;YEAR(AI25),$A$3:$A$24&amp;YEAR($B$3:$B$24),0))</f>
        <v>2386855</v>
      </c>
      <c r="AL25" s="129" t="s">
        <v>1476</v>
      </c>
      <c r="AM25" s="129" t="str">
        <f>INDEX($A$3:$A$24,INT((AG25+11)/12))</f>
        <v>Sales Tax (313-10)</v>
      </c>
    </row>
    <row r="26" spans="1:39" x14ac:dyDescent="0.25">
      <c r="A26" s="140" t="s">
        <v>1488</v>
      </c>
      <c r="B26" s="133">
        <v>41275</v>
      </c>
      <c r="C26" s="132">
        <f>SUM(C4+C6+C8+C10+C12+C14+C16+C18+C20+C22+C24)</f>
        <v>308898.15999999997</v>
      </c>
      <c r="D26" s="132">
        <f>SUM(D4+D6+D8+D10+D12+D14+D16+D18+D20+D22+D24)</f>
        <v>204450.29</v>
      </c>
      <c r="E26" s="132">
        <f>SUM(E4+E6+E8+E10+E12+E14+E16+E18+E20+E22+E24)</f>
        <v>201982.95</v>
      </c>
      <c r="F26" s="132">
        <f>SUM(F4+F6+F8+F10+F12+F14+F16+F18+F20+F22+F24)</f>
        <v>329556.47999999998</v>
      </c>
      <c r="G26" s="132">
        <f>SUM(G4+G6+G8+G10+G12+G14+G16+G18+G20+G22+G24)</f>
        <v>228395.42999999996</v>
      </c>
      <c r="H26" s="132">
        <f>SUM(H4+H6+H8+H10+H12+H14+H16+H18+H20+H22+H24)</f>
        <v>0</v>
      </c>
      <c r="I26" s="132">
        <f>SUM(I4+I6+I8+I10+I12+I14+I16+I18+I20+I22+I24)</f>
        <v>0</v>
      </c>
      <c r="J26" s="132">
        <f>SUM(J4+J6+J8+J10+J12+J14+J16+J18+J20+J22+J24)</f>
        <v>0</v>
      </c>
      <c r="K26" s="132">
        <f>SUM(K4+K6+K8+K10+K12+K14+K16+K18+K20+K22+K24)</f>
        <v>0</v>
      </c>
      <c r="L26" s="132">
        <f>SUM(L4+L6+L8+L10+L12+L14+L16+L18+L20+L22+L24)</f>
        <v>0</v>
      </c>
      <c r="M26" s="132">
        <f>SUM(M4+M6+M8+M10+M12+M14+M16+M18+M20+M22+M24)</f>
        <v>0</v>
      </c>
      <c r="N26" s="132">
        <f>SUM(N4+N6+N8+N10+N12+N14+N16+N18+N20+N22+N24)</f>
        <v>0</v>
      </c>
      <c r="O26" s="132">
        <f>SUM(C26:N26)</f>
        <v>1273283.3099999998</v>
      </c>
      <c r="P26" s="132">
        <f>SUM(P4+P6+P8+P10+P12+P14+P16+P18+P20+P22+P24)</f>
        <v>2862678</v>
      </c>
      <c r="Q26" s="132">
        <f>O26-P26</f>
        <v>-1589394.6900000002</v>
      </c>
      <c r="Y26" s="141"/>
      <c r="Z26" s="141"/>
      <c r="AA26" s="141"/>
      <c r="AB26" s="141"/>
      <c r="AC26" s="141"/>
      <c r="AD26" s="141"/>
      <c r="AE26" s="141"/>
      <c r="AG26" s="129">
        <v>25</v>
      </c>
      <c r="AH26" s="129" t="s">
        <v>1474</v>
      </c>
      <c r="AI26" s="131">
        <f>DATE(YEAR(INDEX($B$2:$N$24,INT((AG26+11)/12)+1,1)),IF(MOD(AG26,12)&lt;&gt;0,MOD(AG26,12),12),1)</f>
        <v>40909</v>
      </c>
      <c r="AJ26" s="129">
        <f>INDEX($C$3:$N$24,INT((AG26+11)/12),AG26-(12*(INT((AG26+11)/12)-1)))</f>
        <v>33891.089999999997</v>
      </c>
      <c r="AK26" s="129">
        <f t="array" ref="AK26">INDEX($P$3:$P$24,MATCH(AM26&amp;YEAR(AI26),$A$3:$A$24&amp;YEAR($B$3:$B$24),0))</f>
        <v>326868</v>
      </c>
      <c r="AL26" s="129" t="s">
        <v>1476</v>
      </c>
      <c r="AM26" s="129" t="str">
        <f>INDEX($A$3:$A$24,INT((AG26+11)/12))</f>
        <v>Use Tax (313-11)</v>
      </c>
    </row>
    <row r="27" spans="1:39" x14ac:dyDescent="0.25">
      <c r="B27" s="139"/>
      <c r="Y27" s="141"/>
      <c r="Z27" s="141"/>
      <c r="AA27" s="141"/>
      <c r="AB27" s="141"/>
      <c r="AC27" s="141"/>
      <c r="AD27" s="141"/>
      <c r="AE27" s="141"/>
      <c r="AG27" s="129">
        <v>26</v>
      </c>
      <c r="AH27" s="129" t="s">
        <v>1474</v>
      </c>
      <c r="AI27" s="131">
        <f>DATE(YEAR(INDEX($B$2:$N$24,INT((AG27+11)/12)+1,1)),IF(MOD(AG27,12)&lt;&gt;0,MOD(AG27,12),12),1)</f>
        <v>40940</v>
      </c>
      <c r="AJ27" s="129">
        <f>INDEX($C$3:$N$24,INT((AG27+11)/12),AG27-(12*(INT((AG27+11)/12)-1)))</f>
        <v>21130.39</v>
      </c>
      <c r="AK27" s="129">
        <f t="array" ref="AK27">INDEX($P$3:$P$24,MATCH(AM27&amp;YEAR(AI27),$A$3:$A$24&amp;YEAR($B$3:$B$24),0))</f>
        <v>326868</v>
      </c>
      <c r="AL27" s="129" t="s">
        <v>1476</v>
      </c>
      <c r="AM27" s="129" t="str">
        <f>INDEX($A$3:$A$24,INT((AG27+11)/12))</f>
        <v>Use Tax (313-11)</v>
      </c>
    </row>
    <row r="28" spans="1:39" x14ac:dyDescent="0.25">
      <c r="B28" s="139"/>
      <c r="Y28" s="141"/>
      <c r="Z28" s="141"/>
      <c r="AA28" s="141"/>
      <c r="AB28" s="141"/>
      <c r="AC28" s="141"/>
      <c r="AD28" s="141"/>
      <c r="AE28" s="141"/>
      <c r="AG28" s="129">
        <v>27</v>
      </c>
      <c r="AH28" s="129" t="s">
        <v>1474</v>
      </c>
      <c r="AI28" s="131">
        <f>DATE(YEAR(INDEX($B$2:$N$24,INT((AG28+11)/12)+1,1)),IF(MOD(AG28,12)&lt;&gt;0,MOD(AG28,12),12),1)</f>
        <v>40969</v>
      </c>
      <c r="AJ28" s="129">
        <f>INDEX($C$3:$N$24,INT((AG28+11)/12),AG28-(12*(INT((AG28+11)/12)-1)))</f>
        <v>27015.23</v>
      </c>
      <c r="AK28" s="129">
        <f t="array" ref="AK28">INDEX($P$3:$P$24,MATCH(AM28&amp;YEAR(AI28),$A$3:$A$24&amp;YEAR($B$3:$B$24),0))</f>
        <v>326868</v>
      </c>
      <c r="AL28" s="129" t="s">
        <v>1476</v>
      </c>
      <c r="AM28" s="129" t="str">
        <f>INDEX($A$3:$A$24,INT((AG28+11)/12))</f>
        <v>Use Tax (313-11)</v>
      </c>
    </row>
    <row r="29" spans="1:39" x14ac:dyDescent="0.25">
      <c r="A29" s="142" t="s">
        <v>1487</v>
      </c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Y29" s="141"/>
      <c r="Z29" s="141"/>
      <c r="AA29" s="141"/>
      <c r="AB29" s="141"/>
      <c r="AC29" s="141"/>
      <c r="AD29" s="141"/>
      <c r="AE29" s="141"/>
      <c r="AG29" s="129">
        <v>28</v>
      </c>
      <c r="AH29" s="129" t="s">
        <v>1474</v>
      </c>
      <c r="AI29" s="131">
        <f>DATE(YEAR(INDEX($B$2:$N$24,INT((AG29+11)/12)+1,1)),IF(MOD(AG29,12)&lt;&gt;0,MOD(AG29,12),12),1)</f>
        <v>41000</v>
      </c>
      <c r="AJ29" s="129">
        <f>INDEX($C$3:$N$24,INT((AG29+11)/12),AG29-(12*(INT((AG29+11)/12)-1)))</f>
        <v>29858.67</v>
      </c>
      <c r="AK29" s="129">
        <f t="array" ref="AK29">INDEX($P$3:$P$24,MATCH(AM29&amp;YEAR(AI29),$A$3:$A$24&amp;YEAR($B$3:$B$24),0))</f>
        <v>326868</v>
      </c>
      <c r="AL29" s="129" t="s">
        <v>1476</v>
      </c>
      <c r="AM29" s="129" t="str">
        <f>INDEX($A$3:$A$24,INT((AG29+11)/12))</f>
        <v>Use Tax (313-11)</v>
      </c>
    </row>
    <row r="30" spans="1:39" x14ac:dyDescent="0.25">
      <c r="A30" s="137"/>
      <c r="B30" s="136" t="s">
        <v>1483</v>
      </c>
      <c r="C30" s="136" t="s">
        <v>248</v>
      </c>
      <c r="D30" s="136" t="s">
        <v>253</v>
      </c>
      <c r="E30" s="136" t="s">
        <v>258</v>
      </c>
      <c r="F30" s="136" t="s">
        <v>263</v>
      </c>
      <c r="G30" s="136" t="s">
        <v>268</v>
      </c>
      <c r="H30" s="136" t="s">
        <v>273</v>
      </c>
      <c r="I30" s="136" t="s">
        <v>249</v>
      </c>
      <c r="J30" s="136" t="s">
        <v>254</v>
      </c>
      <c r="K30" s="136" t="s">
        <v>259</v>
      </c>
      <c r="L30" s="136" t="s">
        <v>264</v>
      </c>
      <c r="M30" s="136" t="s">
        <v>269</v>
      </c>
      <c r="N30" s="136" t="s">
        <v>274</v>
      </c>
      <c r="O30" s="136" t="s">
        <v>1482</v>
      </c>
      <c r="P30" s="136" t="s">
        <v>1481</v>
      </c>
      <c r="Q30" s="136" t="s">
        <v>1480</v>
      </c>
      <c r="R30" s="135"/>
      <c r="S30" s="135"/>
      <c r="T30" s="135"/>
      <c r="U30" s="135"/>
      <c r="V30" s="135"/>
      <c r="W30" s="135"/>
      <c r="X30" s="135"/>
      <c r="Y30" s="141"/>
      <c r="Z30" s="141"/>
      <c r="AA30" s="141"/>
      <c r="AB30" s="141"/>
      <c r="AC30" s="141"/>
      <c r="AD30" s="141"/>
      <c r="AE30" s="141"/>
      <c r="AG30" s="129">
        <v>29</v>
      </c>
      <c r="AH30" s="129" t="s">
        <v>1474</v>
      </c>
      <c r="AI30" s="131">
        <f>DATE(YEAR(INDEX($B$2:$N$24,INT((AG30+11)/12)+1,1)),IF(MOD(AG30,12)&lt;&gt;0,MOD(AG30,12),12),1)</f>
        <v>41030</v>
      </c>
      <c r="AJ30" s="129">
        <f>INDEX($C$3:$N$24,INT((AG30+11)/12),AG30-(12*(INT((AG30+11)/12)-1)))</f>
        <v>29429.32</v>
      </c>
      <c r="AK30" s="129">
        <f t="array" ref="AK30">INDEX($P$3:$P$24,MATCH(AM30&amp;YEAR(AI30),$A$3:$A$24&amp;YEAR($B$3:$B$24),0))</f>
        <v>326868</v>
      </c>
      <c r="AL30" s="129" t="s">
        <v>1476</v>
      </c>
      <c r="AM30" s="129" t="str">
        <f>INDEX($A$3:$A$24,INT((AG30+11)/12))</f>
        <v>Use Tax (313-11)</v>
      </c>
    </row>
    <row r="31" spans="1:39" x14ac:dyDescent="0.25">
      <c r="A31" s="140" t="s">
        <v>1486</v>
      </c>
      <c r="B31" s="133">
        <v>41275</v>
      </c>
      <c r="C31" s="129">
        <v>0</v>
      </c>
      <c r="D31" s="129">
        <v>0</v>
      </c>
      <c r="E31" s="129">
        <v>0</v>
      </c>
      <c r="F31" s="129">
        <v>0</v>
      </c>
      <c r="G31" s="129">
        <v>114241.33</v>
      </c>
      <c r="O31" s="132">
        <f>SUM(C31:N31)</f>
        <v>114241.33</v>
      </c>
      <c r="P31" s="129">
        <v>237429</v>
      </c>
      <c r="Q31" s="132">
        <f>O31-P31</f>
        <v>-123187.67</v>
      </c>
      <c r="Y31" s="141"/>
      <c r="Z31" s="141"/>
      <c r="AA31" s="141"/>
      <c r="AB31" s="141"/>
      <c r="AC31" s="141"/>
      <c r="AD31" s="141"/>
      <c r="AE31" s="141"/>
      <c r="AG31" s="129">
        <v>30</v>
      </c>
      <c r="AH31" s="129" t="s">
        <v>1474</v>
      </c>
      <c r="AI31" s="131">
        <f>DATE(YEAR(INDEX($B$2:$N$24,INT((AG31+11)/12)+1,1)),IF(MOD(AG31,12)&lt;&gt;0,MOD(AG31,12),12),1)</f>
        <v>41061</v>
      </c>
      <c r="AJ31" s="129">
        <f>INDEX($C$3:$N$24,INT((AG31+11)/12),AG31-(12*(INT((AG31+11)/12)-1)))</f>
        <v>55879.22</v>
      </c>
      <c r="AK31" s="129">
        <f t="array" ref="AK31">INDEX($P$3:$P$24,MATCH(AM31&amp;YEAR(AI31),$A$3:$A$24&amp;YEAR($B$3:$B$24),0))</f>
        <v>326868</v>
      </c>
      <c r="AL31" s="129" t="s">
        <v>1476</v>
      </c>
      <c r="AM31" s="129" t="str">
        <f>INDEX($A$3:$A$24,INT((AG31+11)/12))</f>
        <v>Use Tax (313-11)</v>
      </c>
    </row>
    <row r="32" spans="1:39" x14ac:dyDescent="0.25">
      <c r="A32" s="140" t="s">
        <v>1479</v>
      </c>
      <c r="B32" s="133">
        <v>40909</v>
      </c>
      <c r="C32" s="129">
        <v>0</v>
      </c>
      <c r="D32" s="129">
        <v>739.75</v>
      </c>
      <c r="E32" s="129">
        <v>1052.76</v>
      </c>
      <c r="F32" s="129">
        <v>1269.5899999999999</v>
      </c>
      <c r="G32" s="129">
        <v>1558.22</v>
      </c>
      <c r="H32" s="129">
        <v>1549.29</v>
      </c>
      <c r="I32" s="129">
        <v>1322.24</v>
      </c>
      <c r="J32" s="129">
        <v>1573.63</v>
      </c>
      <c r="K32" s="129">
        <v>1703.17</v>
      </c>
      <c r="L32" s="129">
        <v>1880.54</v>
      </c>
      <c r="M32" s="129">
        <v>2680.05</v>
      </c>
      <c r="N32" s="130">
        <v>-4211.5599999999995</v>
      </c>
      <c r="O32" s="132">
        <f>SUM(C32:N32)</f>
        <v>11117.679999999998</v>
      </c>
      <c r="P32" s="129">
        <v>0</v>
      </c>
      <c r="Q32" s="132">
        <f>O32-P32</f>
        <v>11117.679999999998</v>
      </c>
      <c r="AG32" s="129">
        <v>31</v>
      </c>
      <c r="AH32" s="129" t="s">
        <v>1474</v>
      </c>
      <c r="AI32" s="131">
        <f>DATE(YEAR(INDEX($B$2:$N$24,INT((AG32+11)/12)+1,1)),IF(MOD(AG32,12)&lt;&gt;0,MOD(AG32,12),12),1)</f>
        <v>41091</v>
      </c>
      <c r="AJ32" s="129">
        <f>INDEX($C$3:$N$24,INT((AG32+11)/12),AG32-(12*(INT((AG32+11)/12)-1)))</f>
        <v>29662.74</v>
      </c>
      <c r="AK32" s="129">
        <f t="array" ref="AK32">INDEX($P$3:$P$24,MATCH(AM32&amp;YEAR(AI32),$A$3:$A$24&amp;YEAR($B$3:$B$24),0))</f>
        <v>326868</v>
      </c>
      <c r="AL32" s="129" t="s">
        <v>1476</v>
      </c>
      <c r="AM32" s="129" t="str">
        <f>INDEX($A$3:$A$24,INT((AG32+11)/12))</f>
        <v>Use Tax (313-11)</v>
      </c>
    </row>
    <row r="33" spans="1:39" x14ac:dyDescent="0.25">
      <c r="A33" s="140" t="s">
        <v>1479</v>
      </c>
      <c r="B33" s="133">
        <v>41275</v>
      </c>
      <c r="C33" s="129">
        <v>0</v>
      </c>
      <c r="D33" s="129">
        <v>3886.42</v>
      </c>
      <c r="E33" s="129">
        <v>3481</v>
      </c>
      <c r="F33" s="129">
        <v>3919.18</v>
      </c>
      <c r="G33" s="129">
        <v>3883.8</v>
      </c>
      <c r="O33" s="132">
        <f>SUM(C33:N33)</f>
        <v>15170.400000000001</v>
      </c>
      <c r="P33" s="129">
        <v>0</v>
      </c>
      <c r="Q33" s="132">
        <f>O33-P33</f>
        <v>15170.400000000001</v>
      </c>
      <c r="AG33" s="129">
        <v>32</v>
      </c>
      <c r="AH33" s="129" t="s">
        <v>1474</v>
      </c>
      <c r="AI33" s="131">
        <f>DATE(YEAR(INDEX($B$2:$N$24,INT((AG33+11)/12)+1,1)),IF(MOD(AG33,12)&lt;&gt;0,MOD(AG33,12),12),1)</f>
        <v>41122</v>
      </c>
      <c r="AJ33" s="129">
        <f>INDEX($C$3:$N$24,INT((AG33+11)/12),AG33-(12*(INT((AG33+11)/12)-1)))</f>
        <v>25699.18</v>
      </c>
      <c r="AK33" s="129">
        <f t="array" ref="AK33">INDEX($P$3:$P$24,MATCH(AM33&amp;YEAR(AI33),$A$3:$A$24&amp;YEAR($B$3:$B$24),0))</f>
        <v>326868</v>
      </c>
      <c r="AL33" s="129" t="s">
        <v>1476</v>
      </c>
      <c r="AM33" s="129" t="str">
        <f>INDEX($A$3:$A$24,INT((AG33+11)/12))</f>
        <v>Use Tax (313-11)</v>
      </c>
    </row>
    <row r="34" spans="1:39" x14ac:dyDescent="0.25">
      <c r="A34" s="140" t="s">
        <v>1478</v>
      </c>
      <c r="B34" s="133">
        <v>40909</v>
      </c>
      <c r="C34" s="129">
        <v>148616.32999999999</v>
      </c>
      <c r="D34" s="129">
        <v>148616.32999999999</v>
      </c>
      <c r="E34" s="129">
        <v>148616.32999999999</v>
      </c>
      <c r="F34" s="129">
        <v>148616.32999999999</v>
      </c>
      <c r="G34" s="129">
        <v>148616.32999999999</v>
      </c>
      <c r="H34" s="129">
        <v>148616.32999999999</v>
      </c>
      <c r="I34" s="129">
        <v>148616.32999999999</v>
      </c>
      <c r="J34" s="129">
        <v>148616.32999999999</v>
      </c>
      <c r="K34" s="129">
        <v>148616.32999999999</v>
      </c>
      <c r="L34" s="129">
        <v>934685.64</v>
      </c>
      <c r="M34" s="129">
        <v>187683.61</v>
      </c>
      <c r="N34" s="129">
        <v>187683.61</v>
      </c>
      <c r="O34" s="132">
        <f>SUM(C34:N34)</f>
        <v>2647599.8299999996</v>
      </c>
      <c r="P34" s="129">
        <v>0</v>
      </c>
      <c r="Q34" s="132">
        <f>O34-P34</f>
        <v>2647599.8299999996</v>
      </c>
      <c r="AG34" s="129">
        <v>33</v>
      </c>
      <c r="AH34" s="129" t="s">
        <v>1474</v>
      </c>
      <c r="AI34" s="131">
        <f>DATE(YEAR(INDEX($B$2:$N$24,INT((AG34+11)/12)+1,1)),IF(MOD(AG34,12)&lt;&gt;0,MOD(AG34,12),12),1)</f>
        <v>41153</v>
      </c>
      <c r="AJ34" s="129">
        <f>INDEX($C$3:$N$24,INT((AG34+11)/12),AG34-(12*(INT((AG34+11)/12)-1)))</f>
        <v>31261.79</v>
      </c>
      <c r="AK34" s="129">
        <f t="array" ref="AK34">INDEX($P$3:$P$24,MATCH(AM34&amp;YEAR(AI34),$A$3:$A$24&amp;YEAR($B$3:$B$24),0))</f>
        <v>326868</v>
      </c>
      <c r="AL34" s="129" t="s">
        <v>1476</v>
      </c>
      <c r="AM34" s="129" t="str">
        <f>INDEX($A$3:$A$24,INT((AG34+11)/12))</f>
        <v>Use Tax (313-11)</v>
      </c>
    </row>
    <row r="35" spans="1:39" x14ac:dyDescent="0.25">
      <c r="A35" s="140" t="s">
        <v>1478</v>
      </c>
      <c r="B35" s="133">
        <v>41275</v>
      </c>
      <c r="C35" s="129">
        <v>187683.61</v>
      </c>
      <c r="D35" s="129">
        <v>187683.61</v>
      </c>
      <c r="E35" s="129">
        <v>188285.53</v>
      </c>
      <c r="F35" s="129">
        <v>188285.53</v>
      </c>
      <c r="G35" s="129">
        <v>188285.53</v>
      </c>
      <c r="O35" s="132">
        <f>SUM(C35:N35)</f>
        <v>940223.81</v>
      </c>
      <c r="P35" s="129">
        <v>0</v>
      </c>
      <c r="Q35" s="132">
        <f>O35-P35</f>
        <v>940223.81</v>
      </c>
      <c r="AG35" s="129">
        <v>34</v>
      </c>
      <c r="AH35" s="129" t="s">
        <v>1474</v>
      </c>
      <c r="AI35" s="131">
        <f>DATE(YEAR(INDEX($B$2:$N$24,INT((AG35+11)/12)+1,1)),IF(MOD(AG35,12)&lt;&gt;0,MOD(AG35,12),12),1)</f>
        <v>41183</v>
      </c>
      <c r="AJ35" s="129">
        <f>INDEX($C$3:$N$24,INT((AG35+11)/12),AG35-(12*(INT((AG35+11)/12)-1)))</f>
        <v>37199.75</v>
      </c>
      <c r="AK35" s="129">
        <f t="array" ref="AK35">INDEX($P$3:$P$24,MATCH(AM35&amp;YEAR(AI35),$A$3:$A$24&amp;YEAR($B$3:$B$24),0))</f>
        <v>326868</v>
      </c>
      <c r="AL35" s="129" t="s">
        <v>1476</v>
      </c>
      <c r="AM35" s="129" t="str">
        <f>INDEX($A$3:$A$24,INT((AG35+11)/12))</f>
        <v>Use Tax (313-11)</v>
      </c>
    </row>
    <row r="36" spans="1:39" x14ac:dyDescent="0.25">
      <c r="A36" s="140" t="s">
        <v>1485</v>
      </c>
      <c r="B36" s="133">
        <v>40909</v>
      </c>
      <c r="C36" s="132">
        <f>SUM(C32+C34)</f>
        <v>148616.32999999999</v>
      </c>
      <c r="D36" s="132">
        <f>SUM(D32+D34)</f>
        <v>149356.07999999999</v>
      </c>
      <c r="E36" s="132">
        <f>SUM(E32+E34)</f>
        <v>149669.09</v>
      </c>
      <c r="F36" s="132">
        <f>SUM(F32+F34)</f>
        <v>149885.91999999998</v>
      </c>
      <c r="G36" s="132">
        <f>SUM(G32+G34)</f>
        <v>150174.54999999999</v>
      </c>
      <c r="H36" s="132">
        <f>SUM(H32+H34)</f>
        <v>150165.62</v>
      </c>
      <c r="I36" s="132">
        <f>SUM(I32+I34)</f>
        <v>149938.56999999998</v>
      </c>
      <c r="J36" s="132">
        <f>SUM(J32+J34)</f>
        <v>150189.96</v>
      </c>
      <c r="K36" s="132">
        <f>SUM(K32+K34)</f>
        <v>150319.5</v>
      </c>
      <c r="L36" s="132">
        <f>SUM(L32+L34)</f>
        <v>936566.18</v>
      </c>
      <c r="M36" s="132">
        <f>SUM(M32+M34)</f>
        <v>190363.65999999997</v>
      </c>
      <c r="N36" s="132">
        <f>SUM(N32+N34)</f>
        <v>183472.05</v>
      </c>
      <c r="O36" s="132">
        <f>SUM(O32+O34)</f>
        <v>2658717.5099999998</v>
      </c>
      <c r="P36" s="132">
        <f>SUM(P32+P34)</f>
        <v>0</v>
      </c>
      <c r="Q36" s="132">
        <f>O36-P36</f>
        <v>2658717.5099999998</v>
      </c>
      <c r="Y36" s="141"/>
      <c r="Z36" s="141"/>
      <c r="AA36" s="141"/>
      <c r="AB36" s="141"/>
      <c r="AC36" s="141"/>
      <c r="AD36" s="141"/>
      <c r="AE36" s="141"/>
      <c r="AG36" s="129">
        <v>35</v>
      </c>
      <c r="AH36" s="129" t="s">
        <v>1474</v>
      </c>
      <c r="AI36" s="131">
        <f>DATE(YEAR(INDEX($B$2:$N$24,INT((AG36+11)/12)+1,1)),IF(MOD(AG36,12)&lt;&gt;0,MOD(AG36,12),12),1)</f>
        <v>41214</v>
      </c>
      <c r="AJ36" s="129">
        <f>INDEX($C$3:$N$24,INT((AG36+11)/12),AG36-(12*(INT((AG36+11)/12)-1)))</f>
        <v>28862.53</v>
      </c>
      <c r="AK36" s="129">
        <f t="array" ref="AK36">INDEX($P$3:$P$24,MATCH(AM36&amp;YEAR(AI36),$A$3:$A$24&amp;YEAR($B$3:$B$24),0))</f>
        <v>326868</v>
      </c>
      <c r="AL36" s="129" t="s">
        <v>1476</v>
      </c>
      <c r="AM36" s="129" t="str">
        <f>INDEX($A$3:$A$24,INT((AG36+11)/12))</f>
        <v>Use Tax (313-11)</v>
      </c>
    </row>
    <row r="37" spans="1:39" x14ac:dyDescent="0.25">
      <c r="A37" s="140" t="s">
        <v>1485</v>
      </c>
      <c r="B37" s="133">
        <v>41275</v>
      </c>
      <c r="C37" s="132">
        <f>SUM(C31+C33+C35)</f>
        <v>187683.61</v>
      </c>
      <c r="D37" s="132">
        <f>SUM(D31+D33+D35)</f>
        <v>191570.03</v>
      </c>
      <c r="E37" s="132">
        <f>SUM(E31+E33+E35)</f>
        <v>191766.53</v>
      </c>
      <c r="F37" s="132">
        <f>SUM(F31+F33+F35)</f>
        <v>192204.71</v>
      </c>
      <c r="G37" s="132">
        <f>SUM(G31+G33+G35)</f>
        <v>306410.66000000003</v>
      </c>
      <c r="H37" s="132">
        <f>SUM(H31+H33+H35)</f>
        <v>0</v>
      </c>
      <c r="I37" s="132">
        <f>SUM(I31+I33+I35)</f>
        <v>0</v>
      </c>
      <c r="J37" s="132">
        <f>SUM(J31+J33+J35)</f>
        <v>0</v>
      </c>
      <c r="K37" s="132">
        <f>SUM(K31+K33+K35)</f>
        <v>0</v>
      </c>
      <c r="L37" s="132">
        <f>SUM(L31+L33+L35)</f>
        <v>0</v>
      </c>
      <c r="M37" s="132">
        <f>SUM(M31+M33+M35)</f>
        <v>0</v>
      </c>
      <c r="N37" s="132">
        <f>SUM(N31+N33+N35)</f>
        <v>0</v>
      </c>
      <c r="O37" s="132">
        <f>SUM(C37:N37)</f>
        <v>1069635.54</v>
      </c>
      <c r="P37" s="132">
        <f>SUM(P31+P33+P35)</f>
        <v>237429</v>
      </c>
      <c r="Q37" s="132">
        <f>O37-P37</f>
        <v>832206.54</v>
      </c>
      <c r="AG37" s="129">
        <v>36</v>
      </c>
      <c r="AH37" s="129" t="s">
        <v>1474</v>
      </c>
      <c r="AI37" s="131">
        <f>DATE(YEAR(INDEX($B$2:$N$24,INT((AG37+11)/12)+1,1)),IF(MOD(AG37,12)&lt;&gt;0,MOD(AG37,12),12),1)</f>
        <v>41244</v>
      </c>
      <c r="AJ37" s="129">
        <f>INDEX($C$3:$N$24,INT((AG37+11)/12),AG37-(12*(INT((AG37+11)/12)-1)))</f>
        <v>30683.279999999999</v>
      </c>
      <c r="AK37" s="129">
        <f t="array" ref="AK37">INDEX($P$3:$P$24,MATCH(AM37&amp;YEAR(AI37),$A$3:$A$24&amp;YEAR($B$3:$B$24),0))</f>
        <v>326868</v>
      </c>
      <c r="AL37" s="129" t="s">
        <v>1476</v>
      </c>
      <c r="AM37" s="129" t="str">
        <f>INDEX($A$3:$A$24,INT((AG37+11)/12))</f>
        <v>Use Tax (313-11)</v>
      </c>
    </row>
    <row r="38" spans="1:39" x14ac:dyDescent="0.25">
      <c r="B38" s="139"/>
      <c r="AG38" s="129">
        <v>37</v>
      </c>
      <c r="AH38" s="129" t="s">
        <v>1474</v>
      </c>
      <c r="AI38" s="131">
        <f>DATE(YEAR(INDEX($B$2:$N$24,INT((AG38+11)/12)+1,1)),IF(MOD(AG38,12)&lt;&gt;0,MOD(AG38,12),12),1)</f>
        <v>41275</v>
      </c>
      <c r="AJ38" s="129">
        <f>INDEX($C$3:$N$24,INT((AG38+11)/12),AG38-(12*(INT((AG38+11)/12)-1)))</f>
        <v>42273.53</v>
      </c>
      <c r="AK38" s="129">
        <f t="array" ref="AK38">INDEX($P$3:$P$24,MATCH(AM38&amp;YEAR(AI38),$A$3:$A$24&amp;YEAR($B$3:$B$24),0))</f>
        <v>322023</v>
      </c>
      <c r="AL38" s="129" t="s">
        <v>1476</v>
      </c>
      <c r="AM38" s="129" t="str">
        <f>INDEX($A$3:$A$24,INT((AG38+11)/12))</f>
        <v>Use Tax (313-11)</v>
      </c>
    </row>
    <row r="39" spans="1:39" x14ac:dyDescent="0.25">
      <c r="AG39" s="129">
        <v>38</v>
      </c>
      <c r="AH39" s="129" t="s">
        <v>1474</v>
      </c>
      <c r="AI39" s="131">
        <f>DATE(YEAR(INDEX($B$2:$N$24,INT((AG39+11)/12)+1,1)),IF(MOD(AG39,12)&lt;&gt;0,MOD(AG39,12),12),1)</f>
        <v>41306</v>
      </c>
      <c r="AJ39" s="129">
        <f>INDEX($C$3:$N$24,INT((AG39+11)/12),AG39-(12*(INT((AG39+11)/12)-1)))</f>
        <v>31845.59</v>
      </c>
      <c r="AK39" s="129">
        <f t="array" ref="AK39">INDEX($P$3:$P$24,MATCH(AM39&amp;YEAR(AI39),$A$3:$A$24&amp;YEAR($B$3:$B$24),0))</f>
        <v>322023</v>
      </c>
      <c r="AL39" s="129" t="s">
        <v>1476</v>
      </c>
      <c r="AM39" s="129" t="str">
        <f>INDEX($A$3:$A$24,INT((AG39+11)/12))</f>
        <v>Use Tax (313-11)</v>
      </c>
    </row>
    <row r="40" spans="1:39" x14ac:dyDescent="0.25">
      <c r="A40" s="138" t="s">
        <v>1484</v>
      </c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AG40" s="129">
        <v>39</v>
      </c>
      <c r="AH40" s="129" t="s">
        <v>1474</v>
      </c>
      <c r="AI40" s="131">
        <f>DATE(YEAR(INDEX($B$2:$N$24,INT((AG40+11)/12)+1,1)),IF(MOD(AG40,12)&lt;&gt;0,MOD(AG40,12),12),1)</f>
        <v>41334</v>
      </c>
      <c r="AJ40" s="129">
        <f>INDEX($C$3:$N$24,INT((AG40+11)/12),AG40-(12*(INT((AG40+11)/12)-1)))</f>
        <v>26771.77</v>
      </c>
      <c r="AK40" s="129">
        <f t="array" ref="AK40">INDEX($P$3:$P$24,MATCH(AM40&amp;YEAR(AI40),$A$3:$A$24&amp;YEAR($B$3:$B$24),0))</f>
        <v>322023</v>
      </c>
      <c r="AL40" s="129" t="s">
        <v>1476</v>
      </c>
      <c r="AM40" s="129" t="str">
        <f>INDEX($A$3:$A$24,INT((AG40+11)/12))</f>
        <v>Use Tax (313-11)</v>
      </c>
    </row>
    <row r="41" spans="1:39" x14ac:dyDescent="0.25">
      <c r="A41" s="137"/>
      <c r="B41" s="136" t="s">
        <v>1483</v>
      </c>
      <c r="C41" s="136" t="s">
        <v>248</v>
      </c>
      <c r="D41" s="136" t="s">
        <v>253</v>
      </c>
      <c r="E41" s="136" t="s">
        <v>258</v>
      </c>
      <c r="F41" s="136" t="s">
        <v>263</v>
      </c>
      <c r="G41" s="136" t="s">
        <v>268</v>
      </c>
      <c r="H41" s="136" t="s">
        <v>273</v>
      </c>
      <c r="I41" s="136" t="s">
        <v>249</v>
      </c>
      <c r="J41" s="136" t="s">
        <v>254</v>
      </c>
      <c r="K41" s="136" t="s">
        <v>259</v>
      </c>
      <c r="L41" s="136" t="s">
        <v>264</v>
      </c>
      <c r="M41" s="136" t="s">
        <v>269</v>
      </c>
      <c r="N41" s="136" t="s">
        <v>274</v>
      </c>
      <c r="O41" s="136" t="s">
        <v>1482</v>
      </c>
      <c r="P41" s="136" t="s">
        <v>1481</v>
      </c>
      <c r="Q41" s="136" t="s">
        <v>1480</v>
      </c>
      <c r="R41" s="135"/>
      <c r="S41" s="135"/>
      <c r="T41" s="135"/>
      <c r="U41" s="135"/>
      <c r="V41" s="135"/>
      <c r="W41" s="135"/>
      <c r="X41" s="135"/>
      <c r="AG41" s="129">
        <v>40</v>
      </c>
      <c r="AH41" s="129" t="s">
        <v>1474</v>
      </c>
      <c r="AI41" s="131">
        <f>DATE(YEAR(INDEX($B$2:$N$24,INT((AG41+11)/12)+1,1)),IF(MOD(AG41,12)&lt;&gt;0,MOD(AG41,12),12),1)</f>
        <v>41365</v>
      </c>
      <c r="AJ41" s="129">
        <f>INDEX($C$3:$N$24,INT((AG41+11)/12),AG41-(12*(INT((AG41+11)/12)-1)))</f>
        <v>52875.7</v>
      </c>
      <c r="AK41" s="129">
        <f t="array" ref="AK41">INDEX($P$3:$P$24,MATCH(AM41&amp;YEAR(AI41),$A$3:$A$24&amp;YEAR($B$3:$B$24),0))</f>
        <v>322023</v>
      </c>
      <c r="AL41" s="129" t="s">
        <v>1476</v>
      </c>
      <c r="AM41" s="129" t="str">
        <f>INDEX($A$3:$A$24,INT((AG41+11)/12))</f>
        <v>Use Tax (313-11)</v>
      </c>
    </row>
    <row r="42" spans="1:39" x14ac:dyDescent="0.25">
      <c r="A42" s="134" t="s">
        <v>1479</v>
      </c>
      <c r="B42" s="133">
        <v>40909</v>
      </c>
      <c r="C42" s="129">
        <v>0</v>
      </c>
      <c r="D42" s="129">
        <v>0</v>
      </c>
      <c r="E42" s="129">
        <v>0</v>
      </c>
      <c r="F42" s="129">
        <v>0</v>
      </c>
      <c r="G42" s="129">
        <v>0</v>
      </c>
      <c r="H42" s="129">
        <v>0</v>
      </c>
      <c r="I42" s="129">
        <v>0</v>
      </c>
      <c r="J42" s="129">
        <v>0</v>
      </c>
      <c r="K42" s="129">
        <v>0</v>
      </c>
      <c r="L42" s="129">
        <v>0</v>
      </c>
      <c r="M42" s="129">
        <v>5915.68</v>
      </c>
      <c r="N42" s="130">
        <v>6593.04</v>
      </c>
      <c r="O42" s="132">
        <f>SUM(C42:N42)</f>
        <v>12508.720000000001</v>
      </c>
      <c r="P42" s="129">
        <v>0</v>
      </c>
      <c r="Q42" s="132">
        <f>O42-P42</f>
        <v>12508.720000000001</v>
      </c>
      <c r="AG42" s="129">
        <v>41</v>
      </c>
      <c r="AH42" s="129" t="s">
        <v>1474</v>
      </c>
      <c r="AI42" s="131">
        <f>DATE(YEAR(INDEX($B$2:$N$24,INT((AG42+11)/12)+1,1)),IF(MOD(AG42,12)&lt;&gt;0,MOD(AG42,12),12),1)</f>
        <v>41395</v>
      </c>
      <c r="AJ42" s="129">
        <f>INDEX($C$3:$N$24,INT((AG42+11)/12),AG42-(12*(INT((AG42+11)/12)-1)))</f>
        <v>34177.94</v>
      </c>
      <c r="AK42" s="129">
        <f t="array" ref="AK42">INDEX($P$3:$P$24,MATCH(AM42&amp;YEAR(AI42),$A$3:$A$24&amp;YEAR($B$3:$B$24),0))</f>
        <v>322023</v>
      </c>
      <c r="AL42" s="129" t="s">
        <v>1476</v>
      </c>
      <c r="AM42" s="129" t="str">
        <f>INDEX($A$3:$A$24,INT((AG42+11)/12))</f>
        <v>Use Tax (313-11)</v>
      </c>
    </row>
    <row r="43" spans="1:39" x14ac:dyDescent="0.25">
      <c r="A43" s="134" t="s">
        <v>1479</v>
      </c>
      <c r="B43" s="133">
        <v>41275</v>
      </c>
      <c r="C43" s="129">
        <v>1042.33</v>
      </c>
      <c r="D43" s="129">
        <v>874.1</v>
      </c>
      <c r="E43" s="129">
        <v>871.01</v>
      </c>
      <c r="F43" s="129">
        <v>788.14</v>
      </c>
      <c r="G43" s="129">
        <v>754.98</v>
      </c>
      <c r="O43" s="132">
        <f>SUM(C43:N43)</f>
        <v>4330.5599999999995</v>
      </c>
      <c r="P43" s="129">
        <v>0</v>
      </c>
      <c r="Q43" s="132">
        <f>O43-P43</f>
        <v>4330.5599999999995</v>
      </c>
      <c r="AG43" s="129">
        <v>42</v>
      </c>
      <c r="AH43" s="129" t="s">
        <v>1474</v>
      </c>
      <c r="AI43" s="131">
        <f>DATE(YEAR(INDEX($B$2:$N$24,INT((AG43+11)/12)+1,1)),IF(MOD(AG43,12)&lt;&gt;0,MOD(AG43,12),12),1)</f>
        <v>41426</v>
      </c>
      <c r="AJ43" s="129">
        <f>INDEX($C$3:$N$24,INT((AG43+11)/12),AG43-(12*(INT((AG43+11)/12)-1)))</f>
        <v>0</v>
      </c>
      <c r="AK43" s="129">
        <f t="array" ref="AK43">INDEX($P$3:$P$24,MATCH(AM43&amp;YEAR(AI43),$A$3:$A$24&amp;YEAR($B$3:$B$24),0))</f>
        <v>322023</v>
      </c>
      <c r="AL43" s="129" t="s">
        <v>1476</v>
      </c>
      <c r="AM43" s="129" t="str">
        <f>INDEX($A$3:$A$24,INT((AG43+11)/12))</f>
        <v>Use Tax (313-11)</v>
      </c>
    </row>
    <row r="44" spans="1:39" x14ac:dyDescent="0.25">
      <c r="A44" s="134" t="s">
        <v>1478</v>
      </c>
      <c r="B44" s="133">
        <v>40909</v>
      </c>
      <c r="C44" s="129">
        <v>0</v>
      </c>
      <c r="D44" s="129">
        <v>0</v>
      </c>
      <c r="E44" s="129">
        <v>0</v>
      </c>
      <c r="F44" s="129">
        <v>0</v>
      </c>
      <c r="G44" s="129">
        <v>0</v>
      </c>
      <c r="H44" s="129">
        <v>0</v>
      </c>
      <c r="I44" s="129">
        <v>0</v>
      </c>
      <c r="J44" s="129">
        <v>0</v>
      </c>
      <c r="K44" s="129">
        <v>0</v>
      </c>
      <c r="L44" s="129">
        <v>7206733.8399999999</v>
      </c>
      <c r="M44" s="129">
        <v>0</v>
      </c>
      <c r="N44" s="129">
        <v>0</v>
      </c>
      <c r="O44" s="132">
        <f>SUM(C44:N44)</f>
        <v>7206733.8399999999</v>
      </c>
      <c r="P44" s="129">
        <v>0</v>
      </c>
      <c r="Q44" s="132">
        <f>O44-P44</f>
        <v>7206733.8399999999</v>
      </c>
      <c r="AG44" s="129">
        <v>43</v>
      </c>
      <c r="AH44" s="129" t="s">
        <v>1474</v>
      </c>
      <c r="AI44" s="131">
        <f>DATE(YEAR(INDEX($B$2:$N$24,INT((AG44+11)/12)+1,1)),IF(MOD(AG44,12)&lt;&gt;0,MOD(AG44,12),12),1)</f>
        <v>41456</v>
      </c>
      <c r="AJ44" s="129">
        <f>INDEX($C$3:$N$24,INT((AG44+11)/12),AG44-(12*(INT((AG44+11)/12)-1)))</f>
        <v>0</v>
      </c>
      <c r="AK44" s="129">
        <f t="array" ref="AK44">INDEX($P$3:$P$24,MATCH(AM44&amp;YEAR(AI44),$A$3:$A$24&amp;YEAR($B$3:$B$24),0))</f>
        <v>322023</v>
      </c>
      <c r="AL44" s="129" t="s">
        <v>1476</v>
      </c>
      <c r="AM44" s="129" t="str">
        <f>INDEX($A$3:$A$24,INT((AG44+11)/12))</f>
        <v>Use Tax (313-11)</v>
      </c>
    </row>
    <row r="45" spans="1:39" x14ac:dyDescent="0.25">
      <c r="A45" s="134" t="s">
        <v>1478</v>
      </c>
      <c r="B45" s="133">
        <v>41275</v>
      </c>
      <c r="C45" s="129">
        <v>0</v>
      </c>
      <c r="D45" s="129">
        <v>0</v>
      </c>
      <c r="E45" s="129">
        <v>0</v>
      </c>
      <c r="F45" s="129">
        <v>0</v>
      </c>
      <c r="G45" s="129">
        <v>0</v>
      </c>
      <c r="O45" s="132">
        <f>SUM(C45:N45)</f>
        <v>0</v>
      </c>
      <c r="P45" s="129">
        <v>0</v>
      </c>
      <c r="Q45" s="132">
        <f>O45-P45</f>
        <v>0</v>
      </c>
      <c r="AG45" s="129">
        <v>44</v>
      </c>
      <c r="AH45" s="129" t="s">
        <v>1474</v>
      </c>
      <c r="AI45" s="131">
        <f>DATE(YEAR(INDEX($B$2:$N$24,INT((AG45+11)/12)+1,1)),IF(MOD(AG45,12)&lt;&gt;0,MOD(AG45,12),12),1)</f>
        <v>41487</v>
      </c>
      <c r="AJ45" s="129">
        <f>INDEX($C$3:$N$24,INT((AG45+11)/12),AG45-(12*(INT((AG45+11)/12)-1)))</f>
        <v>0</v>
      </c>
      <c r="AK45" s="129">
        <f t="array" ref="AK45">INDEX($P$3:$P$24,MATCH(AM45&amp;YEAR(AI45),$A$3:$A$24&amp;YEAR($B$3:$B$24),0))</f>
        <v>322023</v>
      </c>
      <c r="AL45" s="129" t="s">
        <v>1476</v>
      </c>
      <c r="AM45" s="129" t="str">
        <f>INDEX($A$3:$A$24,INT((AG45+11)/12))</f>
        <v>Use Tax (313-11)</v>
      </c>
    </row>
    <row r="46" spans="1:39" x14ac:dyDescent="0.25">
      <c r="A46" s="134" t="s">
        <v>1477</v>
      </c>
      <c r="B46" s="133">
        <v>40909</v>
      </c>
      <c r="C46" s="132">
        <f>SUM(C42+C44)</f>
        <v>0</v>
      </c>
      <c r="D46" s="132">
        <f>SUM(D42+D44)</f>
        <v>0</v>
      </c>
      <c r="E46" s="132">
        <f>SUM(E42+E44)</f>
        <v>0</v>
      </c>
      <c r="F46" s="132">
        <f>SUM(F42+F44)</f>
        <v>0</v>
      </c>
      <c r="G46" s="132">
        <f>SUM(G42+G44)</f>
        <v>0</v>
      </c>
      <c r="H46" s="132">
        <f>SUM(H42+H44)</f>
        <v>0</v>
      </c>
      <c r="I46" s="132">
        <f>SUM(I42+I44)</f>
        <v>0</v>
      </c>
      <c r="J46" s="132">
        <f>SUM(J42+J44)</f>
        <v>0</v>
      </c>
      <c r="K46" s="132">
        <f>SUM(K42+K44)</f>
        <v>0</v>
      </c>
      <c r="L46" s="132">
        <f>SUM(L42+L44)</f>
        <v>7206733.8399999999</v>
      </c>
      <c r="M46" s="132">
        <f>SUM(M42+M44)</f>
        <v>5915.68</v>
      </c>
      <c r="N46" s="132">
        <f>SUM(N42+N44)</f>
        <v>6593.04</v>
      </c>
      <c r="O46" s="132">
        <f>SUM(C46:N46)</f>
        <v>7219242.5599999996</v>
      </c>
      <c r="P46" s="132">
        <f>SUM(P42+P44)</f>
        <v>0</v>
      </c>
      <c r="Q46" s="132">
        <f>O46-P46</f>
        <v>7219242.5599999996</v>
      </c>
      <c r="AG46" s="129">
        <v>45</v>
      </c>
      <c r="AH46" s="129" t="s">
        <v>1474</v>
      </c>
      <c r="AI46" s="131">
        <f>DATE(YEAR(INDEX($B$2:$N$24,INT((AG46+11)/12)+1,1)),IF(MOD(AG46,12)&lt;&gt;0,MOD(AG46,12),12),1)</f>
        <v>41518</v>
      </c>
      <c r="AJ46" s="129">
        <f>INDEX($C$3:$N$24,INT((AG46+11)/12),AG46-(12*(INT((AG46+11)/12)-1)))</f>
        <v>0</v>
      </c>
      <c r="AK46" s="129">
        <f t="array" ref="AK46">INDEX($P$3:$P$24,MATCH(AM46&amp;YEAR(AI46),$A$3:$A$24&amp;YEAR($B$3:$B$24),0))</f>
        <v>322023</v>
      </c>
      <c r="AL46" s="129" t="s">
        <v>1476</v>
      </c>
      <c r="AM46" s="129" t="str">
        <f>INDEX($A$3:$A$24,INT((AG46+11)/12))</f>
        <v>Use Tax (313-11)</v>
      </c>
    </row>
    <row r="47" spans="1:39" x14ac:dyDescent="0.25">
      <c r="A47" s="134" t="s">
        <v>1477</v>
      </c>
      <c r="B47" s="133">
        <v>41275</v>
      </c>
      <c r="C47" s="132">
        <f>SUM(C43+C45)</f>
        <v>1042.33</v>
      </c>
      <c r="D47" s="132">
        <f>SUM(D43+D45)</f>
        <v>874.1</v>
      </c>
      <c r="E47" s="132">
        <f>SUM(E43+E45)</f>
        <v>871.01</v>
      </c>
      <c r="F47" s="132">
        <f>SUM(F43+F45)</f>
        <v>788.14</v>
      </c>
      <c r="G47" s="132">
        <f>SUM(G43+G45)</f>
        <v>754.98</v>
      </c>
      <c r="H47" s="132">
        <f>SUM(H43+H45)</f>
        <v>0</v>
      </c>
      <c r="I47" s="132">
        <f>SUM(I43+I45)</f>
        <v>0</v>
      </c>
      <c r="J47" s="132">
        <f>SUM(J43+J45)</f>
        <v>0</v>
      </c>
      <c r="K47" s="132">
        <f>SUM(K43+K45)</f>
        <v>0</v>
      </c>
      <c r="L47" s="132">
        <f>SUM(L43+L45)</f>
        <v>0</v>
      </c>
      <c r="M47" s="132">
        <f>SUM(M43+M45)</f>
        <v>0</v>
      </c>
      <c r="N47" s="132">
        <f>SUM(N43+N45)</f>
        <v>0</v>
      </c>
      <c r="O47" s="132">
        <f>SUM(C47:N47)</f>
        <v>4330.5599999999995</v>
      </c>
      <c r="P47" s="132">
        <f>SUM(P43+P45)</f>
        <v>0</v>
      </c>
      <c r="Q47" s="132">
        <f>O47-P47</f>
        <v>4330.5599999999995</v>
      </c>
      <c r="AG47" s="129">
        <v>46</v>
      </c>
      <c r="AH47" s="129" t="s">
        <v>1474</v>
      </c>
      <c r="AI47" s="131">
        <f>DATE(YEAR(INDEX($B$2:$N$24,INT((AG47+11)/12)+1,1)),IF(MOD(AG47,12)&lt;&gt;0,MOD(AG47,12),12),1)</f>
        <v>41548</v>
      </c>
      <c r="AJ47" s="129">
        <f>INDEX($C$3:$N$24,INT((AG47+11)/12),AG47-(12*(INT((AG47+11)/12)-1)))</f>
        <v>0</v>
      </c>
      <c r="AK47" s="129">
        <f t="array" ref="AK47">INDEX($P$3:$P$24,MATCH(AM47&amp;YEAR(AI47),$A$3:$A$24&amp;YEAR($B$3:$B$24),0))</f>
        <v>322023</v>
      </c>
      <c r="AL47" s="129" t="s">
        <v>1476</v>
      </c>
      <c r="AM47" s="129" t="str">
        <f>INDEX($A$3:$A$24,INT((AG47+11)/12))</f>
        <v>Use Tax (313-11)</v>
      </c>
    </row>
    <row r="48" spans="1:39" x14ac:dyDescent="0.25">
      <c r="AG48" s="129">
        <v>47</v>
      </c>
      <c r="AH48" s="129" t="s">
        <v>1474</v>
      </c>
      <c r="AI48" s="131">
        <f>DATE(YEAR(INDEX($B$2:$N$24,INT((AG48+11)/12)+1,1)),IF(MOD(AG48,12)&lt;&gt;0,MOD(AG48,12),12),1)</f>
        <v>41579</v>
      </c>
      <c r="AJ48" s="129">
        <f>INDEX($C$3:$N$24,INT((AG48+11)/12),AG48-(12*(INT((AG48+11)/12)-1)))</f>
        <v>0</v>
      </c>
      <c r="AK48" s="129">
        <f t="array" ref="AK48">INDEX($P$3:$P$24,MATCH(AM48&amp;YEAR(AI48),$A$3:$A$24&amp;YEAR($B$3:$B$24),0))</f>
        <v>322023</v>
      </c>
      <c r="AL48" s="129" t="s">
        <v>1476</v>
      </c>
      <c r="AM48" s="129" t="str">
        <f>INDEX($A$3:$A$24,INT((AG48+11)/12))</f>
        <v>Use Tax (313-11)</v>
      </c>
    </row>
    <row r="49" spans="33:39" x14ac:dyDescent="0.25">
      <c r="AG49" s="129">
        <v>48</v>
      </c>
      <c r="AH49" s="129" t="s">
        <v>1474</v>
      </c>
      <c r="AI49" s="131">
        <f>DATE(YEAR(INDEX($B$2:$N$24,INT((AG49+11)/12)+1,1)),IF(MOD(AG49,12)&lt;&gt;0,MOD(AG49,12),12),1)</f>
        <v>41609</v>
      </c>
      <c r="AJ49" s="129">
        <f>INDEX($C$3:$N$24,INT((AG49+11)/12),AG49-(12*(INT((AG49+11)/12)-1)))</f>
        <v>0</v>
      </c>
      <c r="AK49" s="129">
        <f t="array" ref="AK49">INDEX($P$3:$P$24,MATCH(AM49&amp;YEAR(AI49),$A$3:$A$24&amp;YEAR($B$3:$B$24),0))</f>
        <v>322023</v>
      </c>
      <c r="AL49" s="129" t="s">
        <v>1476</v>
      </c>
      <c r="AM49" s="129" t="str">
        <f>INDEX($A$3:$A$24,INT((AG49+11)/12))</f>
        <v>Use Tax (313-11)</v>
      </c>
    </row>
    <row r="50" spans="33:39" x14ac:dyDescent="0.25">
      <c r="AG50" s="129">
        <v>49</v>
      </c>
      <c r="AH50" s="129" t="s">
        <v>1474</v>
      </c>
      <c r="AI50" s="131">
        <f>DATE(YEAR(INDEX($B$2:$N$24,INT((AG50+11)/12)+1,1)),IF(MOD(AG50,12)&lt;&gt;0,MOD(AG50,12),12),1)</f>
        <v>40909</v>
      </c>
      <c r="AJ50" s="129">
        <f>INDEX($C$3:$N$24,INT((AG50+11)/12),AG50-(12*(INT((AG50+11)/12)-1)))</f>
        <v>0</v>
      </c>
      <c r="AK50" s="129">
        <f t="array" ref="AK50">INDEX($P$3:$P$24,MATCH(AM50&amp;YEAR(AI50),$A$3:$A$24&amp;YEAR($B$3:$B$24),0))</f>
        <v>0</v>
      </c>
      <c r="AL50" s="129" t="s">
        <v>1476</v>
      </c>
      <c r="AM50" s="129" t="str">
        <f>INDEX($A$3:$A$24,INT((AG50+11)/12))</f>
        <v>Taxpayer Assd Use Tax Accrual (313-98)</v>
      </c>
    </row>
    <row r="51" spans="33:39" x14ac:dyDescent="0.25">
      <c r="AG51" s="129">
        <v>50</v>
      </c>
      <c r="AH51" s="129" t="s">
        <v>1474</v>
      </c>
      <c r="AI51" s="131">
        <f>DATE(YEAR(INDEX($B$2:$N$24,INT((AG51+11)/12)+1,1)),IF(MOD(AG51,12)&lt;&gt;0,MOD(AG51,12),12),1)</f>
        <v>40940</v>
      </c>
      <c r="AJ51" s="129">
        <f>INDEX($C$3:$N$24,INT((AG51+11)/12),AG51-(12*(INT((AG51+11)/12)-1)))</f>
        <v>0</v>
      </c>
      <c r="AK51" s="129">
        <f t="array" ref="AK51">INDEX($P$3:$P$24,MATCH(AM51&amp;YEAR(AI51),$A$3:$A$24&amp;YEAR($B$3:$B$24),0))</f>
        <v>0</v>
      </c>
      <c r="AL51" s="129" t="s">
        <v>1476</v>
      </c>
      <c r="AM51" s="129" t="str">
        <f>INDEX($A$3:$A$24,INT((AG51+11)/12))</f>
        <v>Taxpayer Assd Use Tax Accrual (313-98)</v>
      </c>
    </row>
    <row r="52" spans="33:39" x14ac:dyDescent="0.25">
      <c r="AG52" s="129">
        <v>51</v>
      </c>
      <c r="AH52" s="129" t="s">
        <v>1474</v>
      </c>
      <c r="AI52" s="131">
        <f>DATE(YEAR(INDEX($B$2:$N$24,INT((AG52+11)/12)+1,1)),IF(MOD(AG52,12)&lt;&gt;0,MOD(AG52,12),12),1)</f>
        <v>40969</v>
      </c>
      <c r="AJ52" s="129">
        <f>INDEX($C$3:$N$24,INT((AG52+11)/12),AG52-(12*(INT((AG52+11)/12)-1)))</f>
        <v>0</v>
      </c>
      <c r="AK52" s="129">
        <f t="array" ref="AK52">INDEX($P$3:$P$24,MATCH(AM52&amp;YEAR(AI52),$A$3:$A$24&amp;YEAR($B$3:$B$24),0))</f>
        <v>0</v>
      </c>
      <c r="AL52" s="129" t="s">
        <v>1476</v>
      </c>
      <c r="AM52" s="129" t="str">
        <f>INDEX($A$3:$A$24,INT((AG52+11)/12))</f>
        <v>Taxpayer Assd Use Tax Accrual (313-98)</v>
      </c>
    </row>
    <row r="53" spans="33:39" x14ac:dyDescent="0.25">
      <c r="AG53" s="129">
        <v>52</v>
      </c>
      <c r="AH53" s="129" t="s">
        <v>1474</v>
      </c>
      <c r="AI53" s="131">
        <f>DATE(YEAR(INDEX($B$2:$N$24,INT((AG53+11)/12)+1,1)),IF(MOD(AG53,12)&lt;&gt;0,MOD(AG53,12),12),1)</f>
        <v>41000</v>
      </c>
      <c r="AJ53" s="129">
        <f>INDEX($C$3:$N$24,INT((AG53+11)/12),AG53-(12*(INT((AG53+11)/12)-1)))</f>
        <v>0</v>
      </c>
      <c r="AK53" s="129">
        <f t="array" ref="AK53">INDEX($P$3:$P$24,MATCH(AM53&amp;YEAR(AI53),$A$3:$A$24&amp;YEAR($B$3:$B$24),0))</f>
        <v>0</v>
      </c>
      <c r="AL53" s="129" t="s">
        <v>1476</v>
      </c>
      <c r="AM53" s="129" t="str">
        <f>INDEX($A$3:$A$24,INT((AG53+11)/12))</f>
        <v>Taxpayer Assd Use Tax Accrual (313-98)</v>
      </c>
    </row>
    <row r="54" spans="33:39" x14ac:dyDescent="0.25">
      <c r="AG54" s="129">
        <v>53</v>
      </c>
      <c r="AH54" s="129" t="s">
        <v>1474</v>
      </c>
      <c r="AI54" s="131">
        <f>DATE(YEAR(INDEX($B$2:$N$24,INT((AG54+11)/12)+1,1)),IF(MOD(AG54,12)&lt;&gt;0,MOD(AG54,12),12),1)</f>
        <v>41030</v>
      </c>
      <c r="AJ54" s="129">
        <f>INDEX($C$3:$N$24,INT((AG54+11)/12),AG54-(12*(INT((AG54+11)/12)-1)))</f>
        <v>0</v>
      </c>
      <c r="AK54" s="129">
        <f t="array" ref="AK54">INDEX($P$3:$P$24,MATCH(AM54&amp;YEAR(AI54),$A$3:$A$24&amp;YEAR($B$3:$B$24),0))</f>
        <v>0</v>
      </c>
      <c r="AL54" s="129" t="s">
        <v>1476</v>
      </c>
      <c r="AM54" s="129" t="str">
        <f>INDEX($A$3:$A$24,INT((AG54+11)/12))</f>
        <v>Taxpayer Assd Use Tax Accrual (313-98)</v>
      </c>
    </row>
    <row r="55" spans="33:39" x14ac:dyDescent="0.25">
      <c r="AG55" s="129">
        <v>54</v>
      </c>
      <c r="AH55" s="129" t="s">
        <v>1474</v>
      </c>
      <c r="AI55" s="131">
        <f>DATE(YEAR(INDEX($B$2:$N$24,INT((AG55+11)/12)+1,1)),IF(MOD(AG55,12)&lt;&gt;0,MOD(AG55,12),12),1)</f>
        <v>41061</v>
      </c>
      <c r="AJ55" s="129">
        <f>INDEX($C$3:$N$24,INT((AG55+11)/12),AG55-(12*(INT((AG55+11)/12)-1)))</f>
        <v>0</v>
      </c>
      <c r="AK55" s="129">
        <f t="array" ref="AK55">INDEX($P$3:$P$24,MATCH(AM55&amp;YEAR(AI55),$A$3:$A$24&amp;YEAR($B$3:$B$24),0))</f>
        <v>0</v>
      </c>
      <c r="AL55" s="129" t="s">
        <v>1476</v>
      </c>
      <c r="AM55" s="129" t="str">
        <f>INDEX($A$3:$A$24,INT((AG55+11)/12))</f>
        <v>Taxpayer Assd Use Tax Accrual (313-98)</v>
      </c>
    </row>
    <row r="56" spans="33:39" x14ac:dyDescent="0.25">
      <c r="AG56" s="129">
        <v>55</v>
      </c>
      <c r="AH56" s="129" t="s">
        <v>1474</v>
      </c>
      <c r="AI56" s="131">
        <f>DATE(YEAR(INDEX($B$2:$N$24,INT((AG56+11)/12)+1,1)),IF(MOD(AG56,12)&lt;&gt;0,MOD(AG56,12),12),1)</f>
        <v>41091</v>
      </c>
      <c r="AJ56" s="129">
        <f>INDEX($C$3:$N$24,INT((AG56+11)/12),AG56-(12*(INT((AG56+11)/12)-1)))</f>
        <v>0</v>
      </c>
      <c r="AK56" s="129">
        <f t="array" ref="AK56">INDEX($P$3:$P$24,MATCH(AM56&amp;YEAR(AI56),$A$3:$A$24&amp;YEAR($B$3:$B$24),0))</f>
        <v>0</v>
      </c>
      <c r="AL56" s="129" t="s">
        <v>1476</v>
      </c>
      <c r="AM56" s="129" t="str">
        <f>INDEX($A$3:$A$24,INT((AG56+11)/12))</f>
        <v>Taxpayer Assd Use Tax Accrual (313-98)</v>
      </c>
    </row>
    <row r="57" spans="33:39" x14ac:dyDescent="0.25">
      <c r="AG57" s="129">
        <v>56</v>
      </c>
      <c r="AH57" s="129" t="s">
        <v>1474</v>
      </c>
      <c r="AI57" s="131">
        <f>DATE(YEAR(INDEX($B$2:$N$24,INT((AG57+11)/12)+1,1)),IF(MOD(AG57,12)&lt;&gt;0,MOD(AG57,12),12),1)</f>
        <v>41122</v>
      </c>
      <c r="AJ57" s="129">
        <f>INDEX($C$3:$N$24,INT((AG57+11)/12),AG57-(12*(INT((AG57+11)/12)-1)))</f>
        <v>0</v>
      </c>
      <c r="AK57" s="129">
        <f t="array" ref="AK57">INDEX($P$3:$P$24,MATCH(AM57&amp;YEAR(AI57),$A$3:$A$24&amp;YEAR($B$3:$B$24),0))</f>
        <v>0</v>
      </c>
      <c r="AL57" s="129" t="s">
        <v>1476</v>
      </c>
      <c r="AM57" s="129" t="str">
        <f>INDEX($A$3:$A$24,INT((AG57+11)/12))</f>
        <v>Taxpayer Assd Use Tax Accrual (313-98)</v>
      </c>
    </row>
    <row r="58" spans="33:39" x14ac:dyDescent="0.25">
      <c r="AG58" s="129">
        <v>57</v>
      </c>
      <c r="AH58" s="129" t="s">
        <v>1474</v>
      </c>
      <c r="AI58" s="131">
        <f>DATE(YEAR(INDEX($B$2:$N$24,INT((AG58+11)/12)+1,1)),IF(MOD(AG58,12)&lt;&gt;0,MOD(AG58,12),12),1)</f>
        <v>41153</v>
      </c>
      <c r="AJ58" s="129">
        <f>INDEX($C$3:$N$24,INT((AG58+11)/12),AG58-(12*(INT((AG58+11)/12)-1)))</f>
        <v>0</v>
      </c>
      <c r="AK58" s="129">
        <f t="array" ref="AK58">INDEX($P$3:$P$24,MATCH(AM58&amp;YEAR(AI58),$A$3:$A$24&amp;YEAR($B$3:$B$24),0))</f>
        <v>0</v>
      </c>
      <c r="AL58" s="129" t="s">
        <v>1476</v>
      </c>
      <c r="AM58" s="129" t="str">
        <f>INDEX($A$3:$A$24,INT((AG58+11)/12))</f>
        <v>Taxpayer Assd Use Tax Accrual (313-98)</v>
      </c>
    </row>
    <row r="59" spans="33:39" x14ac:dyDescent="0.25">
      <c r="AG59" s="129">
        <v>58</v>
      </c>
      <c r="AH59" s="129" t="s">
        <v>1474</v>
      </c>
      <c r="AI59" s="131">
        <f>DATE(YEAR(INDEX($B$2:$N$24,INT((AG59+11)/12)+1,1)),IF(MOD(AG59,12)&lt;&gt;0,MOD(AG59,12),12),1)</f>
        <v>41183</v>
      </c>
      <c r="AJ59" s="129">
        <f>INDEX($C$3:$N$24,INT((AG59+11)/12),AG59-(12*(INT((AG59+11)/12)-1)))</f>
        <v>0</v>
      </c>
      <c r="AK59" s="129">
        <f t="array" ref="AK59">INDEX($P$3:$P$24,MATCH(AM59&amp;YEAR(AI59),$A$3:$A$24&amp;YEAR($B$3:$B$24),0))</f>
        <v>0</v>
      </c>
      <c r="AL59" s="129" t="s">
        <v>1476</v>
      </c>
      <c r="AM59" s="129" t="str">
        <f>INDEX($A$3:$A$24,INT((AG59+11)/12))</f>
        <v>Taxpayer Assd Use Tax Accrual (313-98)</v>
      </c>
    </row>
    <row r="60" spans="33:39" x14ac:dyDescent="0.25">
      <c r="AG60" s="129">
        <v>59</v>
      </c>
      <c r="AH60" s="129" t="s">
        <v>1474</v>
      </c>
      <c r="AI60" s="131">
        <f>DATE(YEAR(INDEX($B$2:$N$24,INT((AG60+11)/12)+1,1)),IF(MOD(AG60,12)&lt;&gt;0,MOD(AG60,12),12),1)</f>
        <v>41214</v>
      </c>
      <c r="AJ60" s="129">
        <f>INDEX($C$3:$N$24,INT((AG60+11)/12),AG60-(12*(INT((AG60+11)/12)-1)))</f>
        <v>0</v>
      </c>
      <c r="AK60" s="129">
        <f t="array" ref="AK60">INDEX($P$3:$P$24,MATCH(AM60&amp;YEAR(AI60),$A$3:$A$24&amp;YEAR($B$3:$B$24),0))</f>
        <v>0</v>
      </c>
      <c r="AL60" s="129" t="s">
        <v>1476</v>
      </c>
      <c r="AM60" s="129" t="str">
        <f>INDEX($A$3:$A$24,INT((AG60+11)/12))</f>
        <v>Taxpayer Assd Use Tax Accrual (313-98)</v>
      </c>
    </row>
    <row r="61" spans="33:39" x14ac:dyDescent="0.25">
      <c r="AG61" s="129">
        <v>60</v>
      </c>
      <c r="AH61" s="129" t="s">
        <v>1474</v>
      </c>
      <c r="AI61" s="131">
        <f>DATE(YEAR(INDEX($B$2:$N$24,INT((AG61+11)/12)+1,1)),IF(MOD(AG61,12)&lt;&gt;0,MOD(AG61,12),12),1)</f>
        <v>41244</v>
      </c>
      <c r="AJ61" s="129">
        <f>INDEX($C$3:$N$24,INT((AG61+11)/12),AG61-(12*(INT((AG61+11)/12)-1)))</f>
        <v>8682.44</v>
      </c>
      <c r="AK61" s="129">
        <f t="array" ref="AK61">INDEX($P$3:$P$24,MATCH(AM61&amp;YEAR(AI61),$A$3:$A$24&amp;YEAR($B$3:$B$24),0))</f>
        <v>0</v>
      </c>
      <c r="AL61" s="129" t="s">
        <v>1476</v>
      </c>
      <c r="AM61" s="129" t="str">
        <f>INDEX($A$3:$A$24,INT((AG61+11)/12))</f>
        <v>Taxpayer Assd Use Tax Accrual (313-98)</v>
      </c>
    </row>
    <row r="62" spans="33:39" x14ac:dyDescent="0.25">
      <c r="AG62" s="129">
        <v>61</v>
      </c>
      <c r="AH62" s="129" t="s">
        <v>1474</v>
      </c>
      <c r="AI62" s="131">
        <f>DATE(YEAR(INDEX($B$2:$N$24,INT((AG62+11)/12)+1,1)),IF(MOD(AG62,12)&lt;&gt;0,MOD(AG62,12),12),1)</f>
        <v>41275</v>
      </c>
      <c r="AJ62" s="129">
        <f>INDEX($C$3:$N$24,INT((AG62+11)/12),AG62-(12*(INT((AG62+11)/12)-1)))</f>
        <v>0</v>
      </c>
      <c r="AK62" s="129">
        <f t="array" ref="AK62">INDEX($P$3:$P$24,MATCH(AM62&amp;YEAR(AI62),$A$3:$A$24&amp;YEAR($B$3:$B$24),0))</f>
        <v>0</v>
      </c>
      <c r="AL62" s="129" t="s">
        <v>1476</v>
      </c>
      <c r="AM62" s="129" t="str">
        <f>INDEX($A$3:$A$24,INT((AG62+11)/12))</f>
        <v>Taxpayer Assd Use Tax Accrual (313-98)</v>
      </c>
    </row>
    <row r="63" spans="33:39" x14ac:dyDescent="0.25">
      <c r="AG63" s="129">
        <v>62</v>
      </c>
      <c r="AH63" s="129" t="s">
        <v>1474</v>
      </c>
      <c r="AI63" s="131">
        <f>DATE(YEAR(INDEX($B$2:$N$24,INT((AG63+11)/12)+1,1)),IF(MOD(AG63,12)&lt;&gt;0,MOD(AG63,12),12),1)</f>
        <v>41306</v>
      </c>
      <c r="AJ63" s="129">
        <f>INDEX($C$3:$N$24,INT((AG63+11)/12),AG63-(12*(INT((AG63+11)/12)-1)))</f>
        <v>0</v>
      </c>
      <c r="AK63" s="129">
        <f t="array" ref="AK63">INDEX($P$3:$P$24,MATCH(AM63&amp;YEAR(AI63),$A$3:$A$24&amp;YEAR($B$3:$B$24),0))</f>
        <v>0</v>
      </c>
      <c r="AL63" s="129" t="s">
        <v>1476</v>
      </c>
      <c r="AM63" s="129" t="str">
        <f>INDEX($A$3:$A$24,INT((AG63+11)/12))</f>
        <v>Taxpayer Assd Use Tax Accrual (313-98)</v>
      </c>
    </row>
    <row r="64" spans="33:39" x14ac:dyDescent="0.25">
      <c r="AG64" s="129">
        <v>63</v>
      </c>
      <c r="AH64" s="129" t="s">
        <v>1474</v>
      </c>
      <c r="AI64" s="131">
        <f>DATE(YEAR(INDEX($B$2:$N$24,INT((AG64+11)/12)+1,1)),IF(MOD(AG64,12)&lt;&gt;0,MOD(AG64,12),12),1)</f>
        <v>41334</v>
      </c>
      <c r="AJ64" s="129">
        <f>INDEX($C$3:$N$24,INT((AG64+11)/12),AG64-(12*(INT((AG64+11)/12)-1)))</f>
        <v>0</v>
      </c>
      <c r="AK64" s="129">
        <f t="array" ref="AK64">INDEX($P$3:$P$24,MATCH(AM64&amp;YEAR(AI64),$A$3:$A$24&amp;YEAR($B$3:$B$24),0))</f>
        <v>0</v>
      </c>
      <c r="AL64" s="129" t="s">
        <v>1476</v>
      </c>
      <c r="AM64" s="129" t="str">
        <f>INDEX($A$3:$A$24,INT((AG64+11)/12))</f>
        <v>Taxpayer Assd Use Tax Accrual (313-98)</v>
      </c>
    </row>
    <row r="65" spans="33:39" x14ac:dyDescent="0.25">
      <c r="AG65" s="129">
        <v>64</v>
      </c>
      <c r="AH65" s="129" t="s">
        <v>1474</v>
      </c>
      <c r="AI65" s="131">
        <f>DATE(YEAR(INDEX($B$2:$N$24,INT((AG65+11)/12)+1,1)),IF(MOD(AG65,12)&lt;&gt;0,MOD(AG65,12),12),1)</f>
        <v>41365</v>
      </c>
      <c r="AJ65" s="129">
        <f>INDEX($C$3:$N$24,INT((AG65+11)/12),AG65-(12*(INT((AG65+11)/12)-1)))</f>
        <v>0</v>
      </c>
      <c r="AK65" s="129">
        <f t="array" ref="AK65">INDEX($P$3:$P$24,MATCH(AM65&amp;YEAR(AI65),$A$3:$A$24&amp;YEAR($B$3:$B$24),0))</f>
        <v>0</v>
      </c>
      <c r="AL65" s="129" t="s">
        <v>1476</v>
      </c>
      <c r="AM65" s="129" t="str">
        <f>INDEX($A$3:$A$24,INT((AG65+11)/12))</f>
        <v>Taxpayer Assd Use Tax Accrual (313-98)</v>
      </c>
    </row>
    <row r="66" spans="33:39" x14ac:dyDescent="0.25">
      <c r="AG66" s="129">
        <v>65</v>
      </c>
      <c r="AH66" s="129" t="s">
        <v>1474</v>
      </c>
      <c r="AI66" s="131">
        <f>DATE(YEAR(INDEX($B$2:$N$24,INT((AG66+11)/12)+1,1)),IF(MOD(AG66,12)&lt;&gt;0,MOD(AG66,12),12),1)</f>
        <v>41395</v>
      </c>
      <c r="AJ66" s="129">
        <f>INDEX($C$3:$N$24,INT((AG66+11)/12),AG66-(12*(INT((AG66+11)/12)-1)))</f>
        <v>0</v>
      </c>
      <c r="AK66" s="129">
        <f t="array" ref="AK66">INDEX($P$3:$P$24,MATCH(AM66&amp;YEAR(AI66),$A$3:$A$24&amp;YEAR($B$3:$B$24),0))</f>
        <v>0</v>
      </c>
      <c r="AL66" s="129" t="s">
        <v>1476</v>
      </c>
      <c r="AM66" s="129" t="str">
        <f>INDEX($A$3:$A$24,INT((AG66+11)/12))</f>
        <v>Taxpayer Assd Use Tax Accrual (313-98)</v>
      </c>
    </row>
    <row r="67" spans="33:39" x14ac:dyDescent="0.25">
      <c r="AG67" s="129">
        <v>66</v>
      </c>
      <c r="AH67" s="129" t="s">
        <v>1474</v>
      </c>
      <c r="AI67" s="131">
        <f>DATE(YEAR(INDEX($B$2:$N$24,INT((AG67+11)/12)+1,1)),IF(MOD(AG67,12)&lt;&gt;0,MOD(AG67,12),12),1)</f>
        <v>41426</v>
      </c>
      <c r="AJ67" s="129">
        <f>INDEX($C$3:$N$24,INT((AG67+11)/12),AG67-(12*(INT((AG67+11)/12)-1)))</f>
        <v>0</v>
      </c>
      <c r="AK67" s="129">
        <f t="array" ref="AK67">INDEX($P$3:$P$24,MATCH(AM67&amp;YEAR(AI67),$A$3:$A$24&amp;YEAR($B$3:$B$24),0))</f>
        <v>0</v>
      </c>
      <c r="AL67" s="129" t="s">
        <v>1476</v>
      </c>
      <c r="AM67" s="129" t="str">
        <f>INDEX($A$3:$A$24,INT((AG67+11)/12))</f>
        <v>Taxpayer Assd Use Tax Accrual (313-98)</v>
      </c>
    </row>
    <row r="68" spans="33:39" x14ac:dyDescent="0.25">
      <c r="AG68" s="129">
        <v>67</v>
      </c>
      <c r="AH68" s="129" t="s">
        <v>1474</v>
      </c>
      <c r="AI68" s="131">
        <f>DATE(YEAR(INDEX($B$2:$N$24,INT((AG68+11)/12)+1,1)),IF(MOD(AG68,12)&lt;&gt;0,MOD(AG68,12),12),1)</f>
        <v>41456</v>
      </c>
      <c r="AJ68" s="129">
        <f>INDEX($C$3:$N$24,INT((AG68+11)/12),AG68-(12*(INT((AG68+11)/12)-1)))</f>
        <v>0</v>
      </c>
      <c r="AK68" s="129">
        <f t="array" ref="AK68">INDEX($P$3:$P$24,MATCH(AM68&amp;YEAR(AI68),$A$3:$A$24&amp;YEAR($B$3:$B$24),0))</f>
        <v>0</v>
      </c>
      <c r="AL68" s="129" t="s">
        <v>1476</v>
      </c>
      <c r="AM68" s="129" t="str">
        <f>INDEX($A$3:$A$24,INT((AG68+11)/12))</f>
        <v>Taxpayer Assd Use Tax Accrual (313-98)</v>
      </c>
    </row>
    <row r="69" spans="33:39" x14ac:dyDescent="0.25">
      <c r="AG69" s="129">
        <v>68</v>
      </c>
      <c r="AH69" s="129" t="s">
        <v>1474</v>
      </c>
      <c r="AI69" s="131">
        <f>DATE(YEAR(INDEX($B$2:$N$24,INT((AG69+11)/12)+1,1)),IF(MOD(AG69,12)&lt;&gt;0,MOD(AG69,12),12),1)</f>
        <v>41487</v>
      </c>
      <c r="AJ69" s="129">
        <f>INDEX($C$3:$N$24,INT((AG69+11)/12),AG69-(12*(INT((AG69+11)/12)-1)))</f>
        <v>0</v>
      </c>
      <c r="AK69" s="129">
        <f t="array" ref="AK69">INDEX($P$3:$P$24,MATCH(AM69&amp;YEAR(AI69),$A$3:$A$24&amp;YEAR($B$3:$B$24),0))</f>
        <v>0</v>
      </c>
      <c r="AL69" s="129" t="s">
        <v>1476</v>
      </c>
      <c r="AM69" s="129" t="str">
        <f>INDEX($A$3:$A$24,INT((AG69+11)/12))</f>
        <v>Taxpayer Assd Use Tax Accrual (313-98)</v>
      </c>
    </row>
    <row r="70" spans="33:39" x14ac:dyDescent="0.25">
      <c r="AG70" s="129">
        <v>69</v>
      </c>
      <c r="AH70" s="129" t="s">
        <v>1474</v>
      </c>
      <c r="AI70" s="131">
        <f>DATE(YEAR(INDEX($B$2:$N$24,INT((AG70+11)/12)+1,1)),IF(MOD(AG70,12)&lt;&gt;0,MOD(AG70,12),12),1)</f>
        <v>41518</v>
      </c>
      <c r="AJ70" s="129">
        <f>INDEX($C$3:$N$24,INT((AG70+11)/12),AG70-(12*(INT((AG70+11)/12)-1)))</f>
        <v>0</v>
      </c>
      <c r="AK70" s="129">
        <f t="array" ref="AK70">INDEX($P$3:$P$24,MATCH(AM70&amp;YEAR(AI70),$A$3:$A$24&amp;YEAR($B$3:$B$24),0))</f>
        <v>0</v>
      </c>
      <c r="AL70" s="129" t="s">
        <v>1476</v>
      </c>
      <c r="AM70" s="129" t="str">
        <f>INDEX($A$3:$A$24,INT((AG70+11)/12))</f>
        <v>Taxpayer Assd Use Tax Accrual (313-98)</v>
      </c>
    </row>
    <row r="71" spans="33:39" x14ac:dyDescent="0.25">
      <c r="AG71" s="129">
        <v>70</v>
      </c>
      <c r="AH71" s="129" t="s">
        <v>1474</v>
      </c>
      <c r="AI71" s="131">
        <f>DATE(YEAR(INDEX($B$2:$N$24,INT((AG71+11)/12)+1,1)),IF(MOD(AG71,12)&lt;&gt;0,MOD(AG71,12),12),1)</f>
        <v>41548</v>
      </c>
      <c r="AJ71" s="129">
        <f>INDEX($C$3:$N$24,INT((AG71+11)/12),AG71-(12*(INT((AG71+11)/12)-1)))</f>
        <v>0</v>
      </c>
      <c r="AK71" s="129">
        <f t="array" ref="AK71">INDEX($P$3:$P$24,MATCH(AM71&amp;YEAR(AI71),$A$3:$A$24&amp;YEAR($B$3:$B$24),0))</f>
        <v>0</v>
      </c>
      <c r="AL71" s="129" t="s">
        <v>1476</v>
      </c>
      <c r="AM71" s="129" t="str">
        <f>INDEX($A$3:$A$24,INT((AG71+11)/12))</f>
        <v>Taxpayer Assd Use Tax Accrual (313-98)</v>
      </c>
    </row>
    <row r="72" spans="33:39" x14ac:dyDescent="0.25">
      <c r="AG72" s="129">
        <v>71</v>
      </c>
      <c r="AH72" s="129" t="s">
        <v>1474</v>
      </c>
      <c r="AI72" s="131">
        <f>DATE(YEAR(INDEX($B$2:$N$24,INT((AG72+11)/12)+1,1)),IF(MOD(AG72,12)&lt;&gt;0,MOD(AG72,12),12),1)</f>
        <v>41579</v>
      </c>
      <c r="AJ72" s="129">
        <f>INDEX($C$3:$N$24,INT((AG72+11)/12),AG72-(12*(INT((AG72+11)/12)-1)))</f>
        <v>0</v>
      </c>
      <c r="AK72" s="129">
        <f t="array" ref="AK72">INDEX($P$3:$P$24,MATCH(AM72&amp;YEAR(AI72),$A$3:$A$24&amp;YEAR($B$3:$B$24),0))</f>
        <v>0</v>
      </c>
      <c r="AL72" s="129" t="s">
        <v>1476</v>
      </c>
      <c r="AM72" s="129" t="str">
        <f>INDEX($A$3:$A$24,INT((AG72+11)/12))</f>
        <v>Taxpayer Assd Use Tax Accrual (313-98)</v>
      </c>
    </row>
    <row r="73" spans="33:39" x14ac:dyDescent="0.25">
      <c r="AG73" s="129">
        <v>72</v>
      </c>
      <c r="AH73" s="129" t="s">
        <v>1474</v>
      </c>
      <c r="AI73" s="131">
        <f>DATE(YEAR(INDEX($B$2:$N$24,INT((AG73+11)/12)+1,1)),IF(MOD(AG73,12)&lt;&gt;0,MOD(AG73,12),12),1)</f>
        <v>41609</v>
      </c>
      <c r="AJ73" s="129">
        <f>INDEX($C$3:$N$24,INT((AG73+11)/12),AG73-(12*(INT((AG73+11)/12)-1)))</f>
        <v>0</v>
      </c>
      <c r="AK73" s="129">
        <f t="array" ref="AK73">INDEX($P$3:$P$24,MATCH(AM73&amp;YEAR(AI73),$A$3:$A$24&amp;YEAR($B$3:$B$24),0))</f>
        <v>0</v>
      </c>
      <c r="AL73" s="129" t="s">
        <v>1476</v>
      </c>
      <c r="AM73" s="129" t="str">
        <f>INDEX($A$3:$A$24,INT((AG73+11)/12))</f>
        <v>Taxpayer Assd Use Tax Accrual (313-98)</v>
      </c>
    </row>
    <row r="74" spans="33:39" x14ac:dyDescent="0.25">
      <c r="AG74" s="129">
        <v>73</v>
      </c>
      <c r="AH74" s="129" t="s">
        <v>1474</v>
      </c>
      <c r="AI74" s="131">
        <f>DATE(YEAR(INDEX($B$2:$N$24,INT((AG74+11)/12)+1,1)),IF(MOD(AG74,12)&lt;&gt;0,MOD(AG74,12),12),1)</f>
        <v>40909</v>
      </c>
      <c r="AJ74" s="129">
        <f>INDEX($C$3:$N$24,INT((AG74+11)/12),AG74-(12*(INT((AG74+11)/12)-1)))</f>
        <v>0</v>
      </c>
      <c r="AK74" s="129">
        <f t="array" ref="AK74">INDEX($P$3:$P$24,MATCH(AM74&amp;YEAR(AI74),$A$3:$A$24&amp;YEAR($B$3:$B$24),0))</f>
        <v>0</v>
      </c>
      <c r="AL74" s="129" t="s">
        <v>1476</v>
      </c>
      <c r="AM74" s="129" t="str">
        <f>INDEX($A$3:$A$24,INT((AG74+11)/12))</f>
        <v>Taxpayer Assd Sales Tax Accrual (313-99)</v>
      </c>
    </row>
    <row r="75" spans="33:39" x14ac:dyDescent="0.25">
      <c r="AG75" s="129">
        <v>74</v>
      </c>
      <c r="AH75" s="129" t="s">
        <v>1474</v>
      </c>
      <c r="AI75" s="131">
        <f>DATE(YEAR(INDEX($B$2:$N$24,INT((AG75+11)/12)+1,1)),IF(MOD(AG75,12)&lt;&gt;0,MOD(AG75,12),12),1)</f>
        <v>40940</v>
      </c>
      <c r="AJ75" s="129">
        <f>INDEX($C$3:$N$24,INT((AG75+11)/12),AG75-(12*(INT((AG75+11)/12)-1)))</f>
        <v>0</v>
      </c>
      <c r="AK75" s="129">
        <f t="array" ref="AK75">INDEX($P$3:$P$24,MATCH(AM75&amp;YEAR(AI75),$A$3:$A$24&amp;YEAR($B$3:$B$24),0))</f>
        <v>0</v>
      </c>
      <c r="AL75" s="129" t="s">
        <v>1476</v>
      </c>
      <c r="AM75" s="129" t="str">
        <f>INDEX($A$3:$A$24,INT((AG75+11)/12))</f>
        <v>Taxpayer Assd Sales Tax Accrual (313-99)</v>
      </c>
    </row>
    <row r="76" spans="33:39" x14ac:dyDescent="0.25">
      <c r="AG76" s="129">
        <v>75</v>
      </c>
      <c r="AH76" s="129" t="s">
        <v>1474</v>
      </c>
      <c r="AI76" s="131">
        <f>DATE(YEAR(INDEX($B$2:$N$24,INT((AG76+11)/12)+1,1)),IF(MOD(AG76,12)&lt;&gt;0,MOD(AG76,12),12),1)</f>
        <v>40969</v>
      </c>
      <c r="AJ76" s="129">
        <f>INDEX($C$3:$N$24,INT((AG76+11)/12),AG76-(12*(INT((AG76+11)/12)-1)))</f>
        <v>0</v>
      </c>
      <c r="AK76" s="129">
        <f t="array" ref="AK76">INDEX($P$3:$P$24,MATCH(AM76&amp;YEAR(AI76),$A$3:$A$24&amp;YEAR($B$3:$B$24),0))</f>
        <v>0</v>
      </c>
      <c r="AL76" s="129" t="s">
        <v>1476</v>
      </c>
      <c r="AM76" s="129" t="str">
        <f>INDEX($A$3:$A$24,INT((AG76+11)/12))</f>
        <v>Taxpayer Assd Sales Tax Accrual (313-99)</v>
      </c>
    </row>
    <row r="77" spans="33:39" x14ac:dyDescent="0.25">
      <c r="AG77" s="129">
        <v>76</v>
      </c>
      <c r="AH77" s="129" t="s">
        <v>1474</v>
      </c>
      <c r="AI77" s="131">
        <f>DATE(YEAR(INDEX($B$2:$N$24,INT((AG77+11)/12)+1,1)),IF(MOD(AG77,12)&lt;&gt;0,MOD(AG77,12),12),1)</f>
        <v>41000</v>
      </c>
      <c r="AJ77" s="129">
        <f>INDEX($C$3:$N$24,INT((AG77+11)/12),AG77-(12*(INT((AG77+11)/12)-1)))</f>
        <v>0</v>
      </c>
      <c r="AK77" s="129">
        <f t="array" ref="AK77">INDEX($P$3:$P$24,MATCH(AM77&amp;YEAR(AI77),$A$3:$A$24&amp;YEAR($B$3:$B$24),0))</f>
        <v>0</v>
      </c>
      <c r="AL77" s="129" t="s">
        <v>1476</v>
      </c>
      <c r="AM77" s="129" t="str">
        <f>INDEX($A$3:$A$24,INT((AG77+11)/12))</f>
        <v>Taxpayer Assd Sales Tax Accrual (313-99)</v>
      </c>
    </row>
    <row r="78" spans="33:39" x14ac:dyDescent="0.25">
      <c r="AG78" s="129">
        <v>77</v>
      </c>
      <c r="AH78" s="129" t="s">
        <v>1474</v>
      </c>
      <c r="AI78" s="131">
        <f>DATE(YEAR(INDEX($B$2:$N$24,INT((AG78+11)/12)+1,1)),IF(MOD(AG78,12)&lt;&gt;0,MOD(AG78,12),12),1)</f>
        <v>41030</v>
      </c>
      <c r="AJ78" s="129">
        <f>INDEX($C$3:$N$24,INT((AG78+11)/12),AG78-(12*(INT((AG78+11)/12)-1)))</f>
        <v>0</v>
      </c>
      <c r="AK78" s="129">
        <f t="array" ref="AK78">INDEX($P$3:$P$24,MATCH(AM78&amp;YEAR(AI78),$A$3:$A$24&amp;YEAR($B$3:$B$24),0))</f>
        <v>0</v>
      </c>
      <c r="AL78" s="129" t="s">
        <v>1476</v>
      </c>
      <c r="AM78" s="129" t="str">
        <f>INDEX($A$3:$A$24,INT((AG78+11)/12))</f>
        <v>Taxpayer Assd Sales Tax Accrual (313-99)</v>
      </c>
    </row>
    <row r="79" spans="33:39" x14ac:dyDescent="0.25">
      <c r="AG79" s="129">
        <v>78</v>
      </c>
      <c r="AH79" s="129" t="s">
        <v>1474</v>
      </c>
      <c r="AI79" s="131">
        <f>DATE(YEAR(INDEX($B$2:$N$24,INT((AG79+11)/12)+1,1)),IF(MOD(AG79,12)&lt;&gt;0,MOD(AG79,12),12),1)</f>
        <v>41061</v>
      </c>
      <c r="AJ79" s="129">
        <f>INDEX($C$3:$N$24,INT((AG79+11)/12),AG79-(12*(INT((AG79+11)/12)-1)))</f>
        <v>0</v>
      </c>
      <c r="AK79" s="129">
        <f t="array" ref="AK79">INDEX($P$3:$P$24,MATCH(AM79&amp;YEAR(AI79),$A$3:$A$24&amp;YEAR($B$3:$B$24),0))</f>
        <v>0</v>
      </c>
      <c r="AL79" s="129" t="s">
        <v>1476</v>
      </c>
      <c r="AM79" s="129" t="str">
        <f>INDEX($A$3:$A$24,INT((AG79+11)/12))</f>
        <v>Taxpayer Assd Sales Tax Accrual (313-99)</v>
      </c>
    </row>
    <row r="80" spans="33:39" x14ac:dyDescent="0.25">
      <c r="AG80" s="129">
        <v>79</v>
      </c>
      <c r="AH80" s="129" t="s">
        <v>1474</v>
      </c>
      <c r="AI80" s="131">
        <f>DATE(YEAR(INDEX($B$2:$N$24,INT((AG80+11)/12)+1,1)),IF(MOD(AG80,12)&lt;&gt;0,MOD(AG80,12),12),1)</f>
        <v>41091</v>
      </c>
      <c r="AJ80" s="129">
        <f>INDEX($C$3:$N$24,INT((AG80+11)/12),AG80-(12*(INT((AG80+11)/12)-1)))</f>
        <v>0</v>
      </c>
      <c r="AK80" s="129">
        <f t="array" ref="AK80">INDEX($P$3:$P$24,MATCH(AM80&amp;YEAR(AI80),$A$3:$A$24&amp;YEAR($B$3:$B$24),0))</f>
        <v>0</v>
      </c>
      <c r="AL80" s="129" t="s">
        <v>1476</v>
      </c>
      <c r="AM80" s="129" t="str">
        <f>INDEX($A$3:$A$24,INT((AG80+11)/12))</f>
        <v>Taxpayer Assd Sales Tax Accrual (313-99)</v>
      </c>
    </row>
    <row r="81" spans="33:39" x14ac:dyDescent="0.25">
      <c r="AG81" s="129">
        <v>80</v>
      </c>
      <c r="AH81" s="129" t="s">
        <v>1474</v>
      </c>
      <c r="AI81" s="131">
        <f>DATE(YEAR(INDEX($B$2:$N$24,INT((AG81+11)/12)+1,1)),IF(MOD(AG81,12)&lt;&gt;0,MOD(AG81,12),12),1)</f>
        <v>41122</v>
      </c>
      <c r="AJ81" s="129">
        <f>INDEX($C$3:$N$24,INT((AG81+11)/12),AG81-(12*(INT((AG81+11)/12)-1)))</f>
        <v>0</v>
      </c>
      <c r="AK81" s="129">
        <f t="array" ref="AK81">INDEX($P$3:$P$24,MATCH(AM81&amp;YEAR(AI81),$A$3:$A$24&amp;YEAR($B$3:$B$24),0))</f>
        <v>0</v>
      </c>
      <c r="AL81" s="129" t="s">
        <v>1476</v>
      </c>
      <c r="AM81" s="129" t="str">
        <f>INDEX($A$3:$A$24,INT((AG81+11)/12))</f>
        <v>Taxpayer Assd Sales Tax Accrual (313-99)</v>
      </c>
    </row>
    <row r="82" spans="33:39" x14ac:dyDescent="0.25">
      <c r="AG82" s="129">
        <v>81</v>
      </c>
      <c r="AH82" s="129" t="s">
        <v>1474</v>
      </c>
      <c r="AI82" s="131">
        <f>DATE(YEAR(INDEX($B$2:$N$24,INT((AG82+11)/12)+1,1)),IF(MOD(AG82,12)&lt;&gt;0,MOD(AG82,12),12),1)</f>
        <v>41153</v>
      </c>
      <c r="AJ82" s="129">
        <f>INDEX($C$3:$N$24,INT((AG82+11)/12),AG82-(12*(INT((AG82+11)/12)-1)))</f>
        <v>0</v>
      </c>
      <c r="AK82" s="129">
        <f t="array" ref="AK82">INDEX($P$3:$P$24,MATCH(AM82&amp;YEAR(AI82),$A$3:$A$24&amp;YEAR($B$3:$B$24),0))</f>
        <v>0</v>
      </c>
      <c r="AL82" s="129" t="s">
        <v>1476</v>
      </c>
      <c r="AM82" s="129" t="str">
        <f>INDEX($A$3:$A$24,INT((AG82+11)/12))</f>
        <v>Taxpayer Assd Sales Tax Accrual (313-99)</v>
      </c>
    </row>
    <row r="83" spans="33:39" x14ac:dyDescent="0.25">
      <c r="AG83" s="129">
        <v>82</v>
      </c>
      <c r="AH83" s="129" t="s">
        <v>1474</v>
      </c>
      <c r="AI83" s="131">
        <f>DATE(YEAR(INDEX($B$2:$N$24,INT((AG83+11)/12)+1,1)),IF(MOD(AG83,12)&lt;&gt;0,MOD(AG83,12),12),1)</f>
        <v>41183</v>
      </c>
      <c r="AJ83" s="129">
        <f>INDEX($C$3:$N$24,INT((AG83+11)/12),AG83-(12*(INT((AG83+11)/12)-1)))</f>
        <v>0</v>
      </c>
      <c r="AK83" s="129">
        <f t="array" ref="AK83">INDEX($P$3:$P$24,MATCH(AM83&amp;YEAR(AI83),$A$3:$A$24&amp;YEAR($B$3:$B$24),0))</f>
        <v>0</v>
      </c>
      <c r="AL83" s="129" t="s">
        <v>1476</v>
      </c>
      <c r="AM83" s="129" t="str">
        <f>INDEX($A$3:$A$24,INT((AG83+11)/12))</f>
        <v>Taxpayer Assd Sales Tax Accrual (313-99)</v>
      </c>
    </row>
    <row r="84" spans="33:39" x14ac:dyDescent="0.25">
      <c r="AG84" s="129">
        <v>83</v>
      </c>
      <c r="AH84" s="129" t="s">
        <v>1474</v>
      </c>
      <c r="AI84" s="131">
        <f>DATE(YEAR(INDEX($B$2:$N$24,INT((AG84+11)/12)+1,1)),IF(MOD(AG84,12)&lt;&gt;0,MOD(AG84,12),12),1)</f>
        <v>41214</v>
      </c>
      <c r="AJ84" s="129">
        <f>INDEX($C$3:$N$24,INT((AG84+11)/12),AG84-(12*(INT((AG84+11)/12)-1)))</f>
        <v>0</v>
      </c>
      <c r="AK84" s="129">
        <f t="array" ref="AK84">INDEX($P$3:$P$24,MATCH(AM84&amp;YEAR(AI84),$A$3:$A$24&amp;YEAR($B$3:$B$24),0))</f>
        <v>0</v>
      </c>
      <c r="AL84" s="129" t="s">
        <v>1476</v>
      </c>
      <c r="AM84" s="129" t="str">
        <f>INDEX($A$3:$A$24,INT((AG84+11)/12))</f>
        <v>Taxpayer Assd Sales Tax Accrual (313-99)</v>
      </c>
    </row>
    <row r="85" spans="33:39" x14ac:dyDescent="0.25">
      <c r="AG85" s="129">
        <v>84</v>
      </c>
      <c r="AH85" s="129" t="s">
        <v>1474</v>
      </c>
      <c r="AI85" s="131">
        <f>DATE(YEAR(INDEX($B$2:$N$24,INT((AG85+11)/12)+1,1)),IF(MOD(AG85,12)&lt;&gt;0,MOD(AG85,12),12),1)</f>
        <v>41244</v>
      </c>
      <c r="AJ85" s="129">
        <f>INDEX($C$3:$N$24,INT((AG85+11)/12),AG85-(12*(INT((AG85+11)/12)-1)))</f>
        <v>12617.79</v>
      </c>
      <c r="AK85" s="129">
        <f t="array" ref="AK85">INDEX($P$3:$P$24,MATCH(AM85&amp;YEAR(AI85),$A$3:$A$24&amp;YEAR($B$3:$B$24),0))</f>
        <v>0</v>
      </c>
      <c r="AL85" s="129" t="s">
        <v>1476</v>
      </c>
      <c r="AM85" s="129" t="str">
        <f>INDEX($A$3:$A$24,INT((AG85+11)/12))</f>
        <v>Taxpayer Assd Sales Tax Accrual (313-99)</v>
      </c>
    </row>
    <row r="86" spans="33:39" x14ac:dyDescent="0.25">
      <c r="AG86" s="129">
        <v>85</v>
      </c>
      <c r="AH86" s="129" t="s">
        <v>1474</v>
      </c>
      <c r="AI86" s="131">
        <f>DATE(YEAR(INDEX($B$2:$N$24,INT((AG86+11)/12)+1,1)),IF(MOD(AG86,12)&lt;&gt;0,MOD(AG86,12),12),1)</f>
        <v>41275</v>
      </c>
      <c r="AJ86" s="129">
        <f>INDEX($C$3:$N$24,INT((AG86+11)/12),AG86-(12*(INT((AG86+11)/12)-1)))</f>
        <v>0</v>
      </c>
      <c r="AK86" s="129">
        <f t="array" ref="AK86">INDEX($P$3:$P$24,MATCH(AM86&amp;YEAR(AI86),$A$3:$A$24&amp;YEAR($B$3:$B$24),0))</f>
        <v>0</v>
      </c>
      <c r="AL86" s="129" t="s">
        <v>1476</v>
      </c>
      <c r="AM86" s="129" t="str">
        <f>INDEX($A$3:$A$24,INT((AG86+11)/12))</f>
        <v>Taxpayer Assd Sales Tax Accrual (313-99)</v>
      </c>
    </row>
    <row r="87" spans="33:39" x14ac:dyDescent="0.25">
      <c r="AG87" s="129">
        <v>86</v>
      </c>
      <c r="AH87" s="129" t="s">
        <v>1474</v>
      </c>
      <c r="AI87" s="131">
        <f>DATE(YEAR(INDEX($B$2:$N$24,INT((AG87+11)/12)+1,1)),IF(MOD(AG87,12)&lt;&gt;0,MOD(AG87,12),12),1)</f>
        <v>41306</v>
      </c>
      <c r="AJ87" s="129">
        <f>INDEX($C$3:$N$24,INT((AG87+11)/12),AG87-(12*(INT((AG87+11)/12)-1)))</f>
        <v>0</v>
      </c>
      <c r="AK87" s="129">
        <f t="array" ref="AK87">INDEX($P$3:$P$24,MATCH(AM87&amp;YEAR(AI87),$A$3:$A$24&amp;YEAR($B$3:$B$24),0))</f>
        <v>0</v>
      </c>
      <c r="AL87" s="129" t="s">
        <v>1476</v>
      </c>
      <c r="AM87" s="129" t="str">
        <f>INDEX($A$3:$A$24,INT((AG87+11)/12))</f>
        <v>Taxpayer Assd Sales Tax Accrual (313-99)</v>
      </c>
    </row>
    <row r="88" spans="33:39" x14ac:dyDescent="0.25">
      <c r="AG88" s="129">
        <v>87</v>
      </c>
      <c r="AH88" s="129" t="s">
        <v>1474</v>
      </c>
      <c r="AI88" s="131">
        <f>DATE(YEAR(INDEX($B$2:$N$24,INT((AG88+11)/12)+1,1)),IF(MOD(AG88,12)&lt;&gt;0,MOD(AG88,12),12),1)</f>
        <v>41334</v>
      </c>
      <c r="AJ88" s="129">
        <f>INDEX($C$3:$N$24,INT((AG88+11)/12),AG88-(12*(INT((AG88+11)/12)-1)))</f>
        <v>0</v>
      </c>
      <c r="AK88" s="129">
        <f t="array" ref="AK88">INDEX($P$3:$P$24,MATCH(AM88&amp;YEAR(AI88),$A$3:$A$24&amp;YEAR($B$3:$B$24),0))</f>
        <v>0</v>
      </c>
      <c r="AL88" s="129" t="s">
        <v>1476</v>
      </c>
      <c r="AM88" s="129" t="str">
        <f>INDEX($A$3:$A$24,INT((AG88+11)/12))</f>
        <v>Taxpayer Assd Sales Tax Accrual (313-99)</v>
      </c>
    </row>
    <row r="89" spans="33:39" x14ac:dyDescent="0.25">
      <c r="AG89" s="129">
        <v>88</v>
      </c>
      <c r="AH89" s="129" t="s">
        <v>1474</v>
      </c>
      <c r="AI89" s="131">
        <f>DATE(YEAR(INDEX($B$2:$N$24,INT((AG89+11)/12)+1,1)),IF(MOD(AG89,12)&lt;&gt;0,MOD(AG89,12),12),1)</f>
        <v>41365</v>
      </c>
      <c r="AJ89" s="129">
        <f>INDEX($C$3:$N$24,INT((AG89+11)/12),AG89-(12*(INT((AG89+11)/12)-1)))</f>
        <v>0</v>
      </c>
      <c r="AK89" s="129">
        <f t="array" ref="AK89">INDEX($P$3:$P$24,MATCH(AM89&amp;YEAR(AI89),$A$3:$A$24&amp;YEAR($B$3:$B$24),0))</f>
        <v>0</v>
      </c>
      <c r="AL89" s="129" t="s">
        <v>1476</v>
      </c>
      <c r="AM89" s="129" t="str">
        <f>INDEX($A$3:$A$24,INT((AG89+11)/12))</f>
        <v>Taxpayer Assd Sales Tax Accrual (313-99)</v>
      </c>
    </row>
    <row r="90" spans="33:39" x14ac:dyDescent="0.25">
      <c r="AG90" s="129">
        <v>89</v>
      </c>
      <c r="AH90" s="129" t="s">
        <v>1474</v>
      </c>
      <c r="AI90" s="131">
        <f>DATE(YEAR(INDEX($B$2:$N$24,INT((AG90+11)/12)+1,1)),IF(MOD(AG90,12)&lt;&gt;0,MOD(AG90,12),12),1)</f>
        <v>41395</v>
      </c>
      <c r="AJ90" s="129">
        <f>INDEX($C$3:$N$24,INT((AG90+11)/12),AG90-(12*(INT((AG90+11)/12)-1)))</f>
        <v>0</v>
      </c>
      <c r="AK90" s="129">
        <f t="array" ref="AK90">INDEX($P$3:$P$24,MATCH(AM90&amp;YEAR(AI90),$A$3:$A$24&amp;YEAR($B$3:$B$24),0))</f>
        <v>0</v>
      </c>
      <c r="AL90" s="129" t="s">
        <v>1476</v>
      </c>
      <c r="AM90" s="129" t="str">
        <f>INDEX($A$3:$A$24,INT((AG90+11)/12))</f>
        <v>Taxpayer Assd Sales Tax Accrual (313-99)</v>
      </c>
    </row>
    <row r="91" spans="33:39" x14ac:dyDescent="0.25">
      <c r="AG91" s="129">
        <v>90</v>
      </c>
      <c r="AH91" s="129" t="s">
        <v>1474</v>
      </c>
      <c r="AI91" s="131">
        <f>DATE(YEAR(INDEX($B$2:$N$24,INT((AG91+11)/12)+1,1)),IF(MOD(AG91,12)&lt;&gt;0,MOD(AG91,12),12),1)</f>
        <v>41426</v>
      </c>
      <c r="AJ91" s="129">
        <f>INDEX($C$3:$N$24,INT((AG91+11)/12),AG91-(12*(INT((AG91+11)/12)-1)))</f>
        <v>0</v>
      </c>
      <c r="AK91" s="129">
        <f t="array" ref="AK91">INDEX($P$3:$P$24,MATCH(AM91&amp;YEAR(AI91),$A$3:$A$24&amp;YEAR($B$3:$B$24),0))</f>
        <v>0</v>
      </c>
      <c r="AL91" s="129" t="s">
        <v>1476</v>
      </c>
      <c r="AM91" s="129" t="str">
        <f>INDEX($A$3:$A$24,INT((AG91+11)/12))</f>
        <v>Taxpayer Assd Sales Tax Accrual (313-99)</v>
      </c>
    </row>
    <row r="92" spans="33:39" x14ac:dyDescent="0.25">
      <c r="AG92" s="129">
        <v>91</v>
      </c>
      <c r="AH92" s="129" t="s">
        <v>1474</v>
      </c>
      <c r="AI92" s="131">
        <f>DATE(YEAR(INDEX($B$2:$N$24,INT((AG92+11)/12)+1,1)),IF(MOD(AG92,12)&lt;&gt;0,MOD(AG92,12),12),1)</f>
        <v>41456</v>
      </c>
      <c r="AJ92" s="129">
        <f>INDEX($C$3:$N$24,INT((AG92+11)/12),AG92-(12*(INT((AG92+11)/12)-1)))</f>
        <v>0</v>
      </c>
      <c r="AK92" s="129">
        <f t="array" ref="AK92">INDEX($P$3:$P$24,MATCH(AM92&amp;YEAR(AI92),$A$3:$A$24&amp;YEAR($B$3:$B$24),0))</f>
        <v>0</v>
      </c>
      <c r="AL92" s="129" t="s">
        <v>1476</v>
      </c>
      <c r="AM92" s="129" t="str">
        <f>INDEX($A$3:$A$24,INT((AG92+11)/12))</f>
        <v>Taxpayer Assd Sales Tax Accrual (313-99)</v>
      </c>
    </row>
    <row r="93" spans="33:39" x14ac:dyDescent="0.25">
      <c r="AG93" s="129">
        <v>92</v>
      </c>
      <c r="AH93" s="129" t="s">
        <v>1474</v>
      </c>
      <c r="AI93" s="131">
        <f>DATE(YEAR(INDEX($B$2:$N$24,INT((AG93+11)/12)+1,1)),IF(MOD(AG93,12)&lt;&gt;0,MOD(AG93,12),12),1)</f>
        <v>41487</v>
      </c>
      <c r="AJ93" s="129">
        <f>INDEX($C$3:$N$24,INT((AG93+11)/12),AG93-(12*(INT((AG93+11)/12)-1)))</f>
        <v>0</v>
      </c>
      <c r="AK93" s="129">
        <f t="array" ref="AK93">INDEX($P$3:$P$24,MATCH(AM93&amp;YEAR(AI93),$A$3:$A$24&amp;YEAR($B$3:$B$24),0))</f>
        <v>0</v>
      </c>
      <c r="AL93" s="129" t="s">
        <v>1476</v>
      </c>
      <c r="AM93" s="129" t="str">
        <f>INDEX($A$3:$A$24,INT((AG93+11)/12))</f>
        <v>Taxpayer Assd Sales Tax Accrual (313-99)</v>
      </c>
    </row>
    <row r="94" spans="33:39" x14ac:dyDescent="0.25">
      <c r="AG94" s="129">
        <v>93</v>
      </c>
      <c r="AH94" s="129" t="s">
        <v>1474</v>
      </c>
      <c r="AI94" s="131">
        <f>DATE(YEAR(INDEX($B$2:$N$24,INT((AG94+11)/12)+1,1)),IF(MOD(AG94,12)&lt;&gt;0,MOD(AG94,12),12),1)</f>
        <v>41518</v>
      </c>
      <c r="AJ94" s="129">
        <f>INDEX($C$3:$N$24,INT((AG94+11)/12),AG94-(12*(INT((AG94+11)/12)-1)))</f>
        <v>0</v>
      </c>
      <c r="AK94" s="129">
        <f t="array" ref="AK94">INDEX($P$3:$P$24,MATCH(AM94&amp;YEAR(AI94),$A$3:$A$24&amp;YEAR($B$3:$B$24),0))</f>
        <v>0</v>
      </c>
      <c r="AL94" s="129" t="s">
        <v>1476</v>
      </c>
      <c r="AM94" s="129" t="str">
        <f>INDEX($A$3:$A$24,INT((AG94+11)/12))</f>
        <v>Taxpayer Assd Sales Tax Accrual (313-99)</v>
      </c>
    </row>
    <row r="95" spans="33:39" x14ac:dyDescent="0.25">
      <c r="AG95" s="129">
        <v>94</v>
      </c>
      <c r="AH95" s="129" t="s">
        <v>1474</v>
      </c>
      <c r="AI95" s="131">
        <f>DATE(YEAR(INDEX($B$2:$N$24,INT((AG95+11)/12)+1,1)),IF(MOD(AG95,12)&lt;&gt;0,MOD(AG95,12),12),1)</f>
        <v>41548</v>
      </c>
      <c r="AJ95" s="129">
        <f>INDEX($C$3:$N$24,INT((AG95+11)/12),AG95-(12*(INT((AG95+11)/12)-1)))</f>
        <v>0</v>
      </c>
      <c r="AK95" s="129">
        <f t="array" ref="AK95">INDEX($P$3:$P$24,MATCH(AM95&amp;YEAR(AI95),$A$3:$A$24&amp;YEAR($B$3:$B$24),0))</f>
        <v>0</v>
      </c>
      <c r="AL95" s="129" t="s">
        <v>1476</v>
      </c>
      <c r="AM95" s="129" t="str">
        <f>INDEX($A$3:$A$24,INT((AG95+11)/12))</f>
        <v>Taxpayer Assd Sales Tax Accrual (313-99)</v>
      </c>
    </row>
    <row r="96" spans="33:39" x14ac:dyDescent="0.25">
      <c r="AG96" s="129">
        <v>95</v>
      </c>
      <c r="AH96" s="129" t="s">
        <v>1474</v>
      </c>
      <c r="AI96" s="131">
        <f>DATE(YEAR(INDEX($B$2:$N$24,INT((AG96+11)/12)+1,1)),IF(MOD(AG96,12)&lt;&gt;0,MOD(AG96,12),12),1)</f>
        <v>41579</v>
      </c>
      <c r="AJ96" s="129">
        <f>INDEX($C$3:$N$24,INT((AG96+11)/12),AG96-(12*(INT((AG96+11)/12)-1)))</f>
        <v>0</v>
      </c>
      <c r="AK96" s="129">
        <f t="array" ref="AK96">INDEX($P$3:$P$24,MATCH(AM96&amp;YEAR(AI96),$A$3:$A$24&amp;YEAR($B$3:$B$24),0))</f>
        <v>0</v>
      </c>
      <c r="AL96" s="129" t="s">
        <v>1476</v>
      </c>
      <c r="AM96" s="129" t="str">
        <f>INDEX($A$3:$A$24,INT((AG96+11)/12))</f>
        <v>Taxpayer Assd Sales Tax Accrual (313-99)</v>
      </c>
    </row>
    <row r="97" spans="33:39" x14ac:dyDescent="0.25">
      <c r="AG97" s="129">
        <v>96</v>
      </c>
      <c r="AH97" s="129" t="s">
        <v>1474</v>
      </c>
      <c r="AI97" s="131">
        <f>DATE(YEAR(INDEX($B$2:$N$24,INT((AG97+11)/12)+1,1)),IF(MOD(AG97,12)&lt;&gt;0,MOD(AG97,12),12),1)</f>
        <v>41609</v>
      </c>
      <c r="AJ97" s="129">
        <f>INDEX($C$3:$N$24,INT((AG97+11)/12),AG97-(12*(INT((AG97+11)/12)-1)))</f>
        <v>0</v>
      </c>
      <c r="AK97" s="129">
        <f t="array" ref="AK97">INDEX($P$3:$P$24,MATCH(AM97&amp;YEAR(AI97),$A$3:$A$24&amp;YEAR($B$3:$B$24),0))</f>
        <v>0</v>
      </c>
      <c r="AL97" s="129" t="s">
        <v>1476</v>
      </c>
      <c r="AM97" s="129" t="str">
        <f>INDEX($A$3:$A$24,INT((AG97+11)/12))</f>
        <v>Taxpayer Assd Sales Tax Accrual (313-99)</v>
      </c>
    </row>
    <row r="98" spans="33:39" x14ac:dyDescent="0.25">
      <c r="AG98" s="129">
        <v>97</v>
      </c>
      <c r="AH98" s="129" t="s">
        <v>1474</v>
      </c>
      <c r="AI98" s="131">
        <f>DATE(YEAR(INDEX($B$2:$N$24,INT((AG98+11)/12)+1,1)),IF(MOD(AG98,12)&lt;&gt;0,MOD(AG98,12),12),1)</f>
        <v>40909</v>
      </c>
      <c r="AJ98" s="129">
        <f>INDEX($C$3:$N$24,INT((AG98+11)/12),AG98-(12*(INT((AG98+11)/12)-1)))</f>
        <v>0</v>
      </c>
      <c r="AK98" s="129">
        <f t="array" ref="AK98">INDEX($P$3:$P$24,MATCH(AM98&amp;YEAR(AI98),$A$3:$A$24&amp;YEAR($B$3:$B$24),0))</f>
        <v>0</v>
      </c>
      <c r="AL98" s="129" t="s">
        <v>1476</v>
      </c>
      <c r="AM98" s="129" t="str">
        <f>INDEX($A$3:$A$24,INT((AG98+11)/12))</f>
        <v>Intergovernment Revenue (330-**)</v>
      </c>
    </row>
    <row r="99" spans="33:39" x14ac:dyDescent="0.25">
      <c r="AG99" s="129">
        <v>98</v>
      </c>
      <c r="AH99" s="129" t="s">
        <v>1474</v>
      </c>
      <c r="AI99" s="131">
        <f>DATE(YEAR(INDEX($B$2:$N$24,INT((AG99+11)/12)+1,1)),IF(MOD(AG99,12)&lt;&gt;0,MOD(AG99,12),12),1)</f>
        <v>40940</v>
      </c>
      <c r="AJ99" s="129">
        <f>INDEX($C$3:$N$24,INT((AG99+11)/12),AG99-(12*(INT((AG99+11)/12)-1)))</f>
        <v>0</v>
      </c>
      <c r="AK99" s="129">
        <f t="array" ref="AK99">INDEX($P$3:$P$24,MATCH(AM99&amp;YEAR(AI99),$A$3:$A$24&amp;YEAR($B$3:$B$24),0))</f>
        <v>0</v>
      </c>
      <c r="AL99" s="129" t="s">
        <v>1476</v>
      </c>
      <c r="AM99" s="129" t="str">
        <f>INDEX($A$3:$A$24,INT((AG99+11)/12))</f>
        <v>Intergovernment Revenue (330-**)</v>
      </c>
    </row>
    <row r="100" spans="33:39" x14ac:dyDescent="0.25">
      <c r="AG100" s="129">
        <v>99</v>
      </c>
      <c r="AH100" s="129" t="s">
        <v>1474</v>
      </c>
      <c r="AI100" s="131">
        <f>DATE(YEAR(INDEX($B$2:$N$24,INT((AG100+11)/12)+1,1)),IF(MOD(AG100,12)&lt;&gt;0,MOD(AG100,12),12),1)</f>
        <v>40969</v>
      </c>
      <c r="AJ100" s="129">
        <f>INDEX($C$3:$N$24,INT((AG100+11)/12),AG100-(12*(INT((AG100+11)/12)-1)))</f>
        <v>0</v>
      </c>
      <c r="AK100" s="129">
        <f t="array" ref="AK100">INDEX($P$3:$P$24,MATCH(AM100&amp;YEAR(AI100),$A$3:$A$24&amp;YEAR($B$3:$B$24),0))</f>
        <v>0</v>
      </c>
      <c r="AL100" s="129" t="s">
        <v>1476</v>
      </c>
      <c r="AM100" s="129" t="str">
        <f>INDEX($A$3:$A$24,INT((AG100+11)/12))</f>
        <v>Intergovernment Revenue (330-**)</v>
      </c>
    </row>
    <row r="101" spans="33:39" x14ac:dyDescent="0.25">
      <c r="AG101" s="129">
        <v>100</v>
      </c>
      <c r="AH101" s="129" t="s">
        <v>1474</v>
      </c>
      <c r="AI101" s="131">
        <f>DATE(YEAR(INDEX($B$2:$N$24,INT((AG101+11)/12)+1,1)),IF(MOD(AG101,12)&lt;&gt;0,MOD(AG101,12),12),1)</f>
        <v>41000</v>
      </c>
      <c r="AJ101" s="129">
        <f>INDEX($C$3:$N$24,INT((AG101+11)/12),AG101-(12*(INT((AG101+11)/12)-1)))</f>
        <v>0</v>
      </c>
      <c r="AK101" s="129">
        <f t="array" ref="AK101">INDEX($P$3:$P$24,MATCH(AM101&amp;YEAR(AI101),$A$3:$A$24&amp;YEAR($B$3:$B$24),0))</f>
        <v>0</v>
      </c>
      <c r="AL101" s="129" t="s">
        <v>1476</v>
      </c>
      <c r="AM101" s="129" t="str">
        <f>INDEX($A$3:$A$24,INT((AG101+11)/12))</f>
        <v>Intergovernment Revenue (330-**)</v>
      </c>
    </row>
    <row r="102" spans="33:39" x14ac:dyDescent="0.25">
      <c r="AG102" s="129">
        <v>101</v>
      </c>
      <c r="AH102" s="129" t="s">
        <v>1474</v>
      </c>
      <c r="AI102" s="131">
        <f>DATE(YEAR(INDEX($B$2:$N$24,INT((AG102+11)/12)+1,1)),IF(MOD(AG102,12)&lt;&gt;0,MOD(AG102,12),12),1)</f>
        <v>41030</v>
      </c>
      <c r="AJ102" s="129">
        <f>INDEX($C$3:$N$24,INT((AG102+11)/12),AG102-(12*(INT((AG102+11)/12)-1)))</f>
        <v>0</v>
      </c>
      <c r="AK102" s="129">
        <f t="array" ref="AK102">INDEX($P$3:$P$24,MATCH(AM102&amp;YEAR(AI102),$A$3:$A$24&amp;YEAR($B$3:$B$24),0))</f>
        <v>0</v>
      </c>
      <c r="AL102" s="129" t="s">
        <v>1476</v>
      </c>
      <c r="AM102" s="129" t="str">
        <f>INDEX($A$3:$A$24,INT((AG102+11)/12))</f>
        <v>Intergovernment Revenue (330-**)</v>
      </c>
    </row>
    <row r="103" spans="33:39" x14ac:dyDescent="0.25">
      <c r="AG103" s="129">
        <v>102</v>
      </c>
      <c r="AH103" s="129" t="s">
        <v>1474</v>
      </c>
      <c r="AI103" s="131">
        <f>DATE(YEAR(INDEX($B$2:$N$24,INT((AG103+11)/12)+1,1)),IF(MOD(AG103,12)&lt;&gt;0,MOD(AG103,12),12),1)</f>
        <v>41061</v>
      </c>
      <c r="AJ103" s="129">
        <f>INDEX($C$3:$N$24,INT((AG103+11)/12),AG103-(12*(INT((AG103+11)/12)-1)))</f>
        <v>0</v>
      </c>
      <c r="AK103" s="129">
        <f t="array" ref="AK103">INDEX($P$3:$P$24,MATCH(AM103&amp;YEAR(AI103),$A$3:$A$24&amp;YEAR($B$3:$B$24),0))</f>
        <v>0</v>
      </c>
      <c r="AL103" s="129" t="s">
        <v>1476</v>
      </c>
      <c r="AM103" s="129" t="str">
        <f>INDEX($A$3:$A$24,INT((AG103+11)/12))</f>
        <v>Intergovernment Revenue (330-**)</v>
      </c>
    </row>
    <row r="104" spans="33:39" x14ac:dyDescent="0.25">
      <c r="AG104" s="129">
        <v>103</v>
      </c>
      <c r="AH104" s="129" t="s">
        <v>1474</v>
      </c>
      <c r="AI104" s="131">
        <f>DATE(YEAR(INDEX($B$2:$N$24,INT((AG104+11)/12)+1,1)),IF(MOD(AG104,12)&lt;&gt;0,MOD(AG104,12),12),1)</f>
        <v>41091</v>
      </c>
      <c r="AJ104" s="129">
        <f>INDEX($C$3:$N$24,INT((AG104+11)/12),AG104-(12*(INT((AG104+11)/12)-1)))</f>
        <v>0</v>
      </c>
      <c r="AK104" s="129">
        <f t="array" ref="AK104">INDEX($P$3:$P$24,MATCH(AM104&amp;YEAR(AI104),$A$3:$A$24&amp;YEAR($B$3:$B$24),0))</f>
        <v>0</v>
      </c>
      <c r="AL104" s="129" t="s">
        <v>1476</v>
      </c>
      <c r="AM104" s="129" t="str">
        <f>INDEX($A$3:$A$24,INT((AG104+11)/12))</f>
        <v>Intergovernment Revenue (330-**)</v>
      </c>
    </row>
    <row r="105" spans="33:39" x14ac:dyDescent="0.25">
      <c r="AG105" s="129">
        <v>104</v>
      </c>
      <c r="AH105" s="129" t="s">
        <v>1474</v>
      </c>
      <c r="AI105" s="131">
        <f>DATE(YEAR(INDEX($B$2:$N$24,INT((AG105+11)/12)+1,1)),IF(MOD(AG105,12)&lt;&gt;0,MOD(AG105,12),12),1)</f>
        <v>41122</v>
      </c>
      <c r="AJ105" s="129">
        <f>INDEX($C$3:$N$24,INT((AG105+11)/12),AG105-(12*(INT((AG105+11)/12)-1)))</f>
        <v>0</v>
      </c>
      <c r="AK105" s="129">
        <f t="array" ref="AK105">INDEX($P$3:$P$24,MATCH(AM105&amp;YEAR(AI105),$A$3:$A$24&amp;YEAR($B$3:$B$24),0))</f>
        <v>0</v>
      </c>
      <c r="AL105" s="129" t="s">
        <v>1476</v>
      </c>
      <c r="AM105" s="129" t="str">
        <f>INDEX($A$3:$A$24,INT((AG105+11)/12))</f>
        <v>Intergovernment Revenue (330-**)</v>
      </c>
    </row>
    <row r="106" spans="33:39" x14ac:dyDescent="0.25">
      <c r="AG106" s="129">
        <v>105</v>
      </c>
      <c r="AH106" s="129" t="s">
        <v>1474</v>
      </c>
      <c r="AI106" s="131">
        <f>DATE(YEAR(INDEX($B$2:$N$24,INT((AG106+11)/12)+1,1)),IF(MOD(AG106,12)&lt;&gt;0,MOD(AG106,12),12),1)</f>
        <v>41153</v>
      </c>
      <c r="AJ106" s="129">
        <f>INDEX($C$3:$N$24,INT((AG106+11)/12),AG106-(12*(INT((AG106+11)/12)-1)))</f>
        <v>0</v>
      </c>
      <c r="AK106" s="129">
        <f t="array" ref="AK106">INDEX($P$3:$P$24,MATCH(AM106&amp;YEAR(AI106),$A$3:$A$24&amp;YEAR($B$3:$B$24),0))</f>
        <v>0</v>
      </c>
      <c r="AL106" s="129" t="s">
        <v>1476</v>
      </c>
      <c r="AM106" s="129" t="str">
        <f>INDEX($A$3:$A$24,INT((AG106+11)/12))</f>
        <v>Intergovernment Revenue (330-**)</v>
      </c>
    </row>
    <row r="107" spans="33:39" x14ac:dyDescent="0.25">
      <c r="AG107" s="129">
        <v>106</v>
      </c>
      <c r="AH107" s="129" t="s">
        <v>1474</v>
      </c>
      <c r="AI107" s="131">
        <f>DATE(YEAR(INDEX($B$2:$N$24,INT((AG107+11)/12)+1,1)),IF(MOD(AG107,12)&lt;&gt;0,MOD(AG107,12),12),1)</f>
        <v>41183</v>
      </c>
      <c r="AJ107" s="129">
        <f>INDEX($C$3:$N$24,INT((AG107+11)/12),AG107-(12*(INT((AG107+11)/12)-1)))</f>
        <v>0</v>
      </c>
      <c r="AK107" s="129">
        <f t="array" ref="AK107">INDEX($P$3:$P$24,MATCH(AM107&amp;YEAR(AI107),$A$3:$A$24&amp;YEAR($B$3:$B$24),0))</f>
        <v>0</v>
      </c>
      <c r="AL107" s="129" t="s">
        <v>1476</v>
      </c>
      <c r="AM107" s="129" t="str">
        <f>INDEX($A$3:$A$24,INT((AG107+11)/12))</f>
        <v>Intergovernment Revenue (330-**)</v>
      </c>
    </row>
    <row r="108" spans="33:39" x14ac:dyDescent="0.25">
      <c r="AG108" s="129">
        <v>107</v>
      </c>
      <c r="AH108" s="129" t="s">
        <v>1474</v>
      </c>
      <c r="AI108" s="131">
        <f>DATE(YEAR(INDEX($B$2:$N$24,INT((AG108+11)/12)+1,1)),IF(MOD(AG108,12)&lt;&gt;0,MOD(AG108,12),12),1)</f>
        <v>41214</v>
      </c>
      <c r="AJ108" s="129">
        <f>INDEX($C$3:$N$24,INT((AG108+11)/12),AG108-(12*(INT((AG108+11)/12)-1)))</f>
        <v>0</v>
      </c>
      <c r="AK108" s="129">
        <f t="array" ref="AK108">INDEX($P$3:$P$24,MATCH(AM108&amp;YEAR(AI108),$A$3:$A$24&amp;YEAR($B$3:$B$24),0))</f>
        <v>0</v>
      </c>
      <c r="AL108" s="129" t="s">
        <v>1476</v>
      </c>
      <c r="AM108" s="129" t="str">
        <f>INDEX($A$3:$A$24,INT((AG108+11)/12))</f>
        <v>Intergovernment Revenue (330-**)</v>
      </c>
    </row>
    <row r="109" spans="33:39" x14ac:dyDescent="0.25">
      <c r="AG109" s="129">
        <v>108</v>
      </c>
      <c r="AH109" s="129" t="s">
        <v>1474</v>
      </c>
      <c r="AI109" s="131">
        <f>DATE(YEAR(INDEX($B$2:$N$24,INT((AG109+11)/12)+1,1)),IF(MOD(AG109,12)&lt;&gt;0,MOD(AG109,12),12),1)</f>
        <v>41244</v>
      </c>
      <c r="AJ109" s="129">
        <f>INDEX($C$3:$N$24,INT((AG109+11)/12),AG109-(12*(INT((AG109+11)/12)-1)))</f>
        <v>0</v>
      </c>
      <c r="AK109" s="129">
        <f t="array" ref="AK109">INDEX($P$3:$P$24,MATCH(AM109&amp;YEAR(AI109),$A$3:$A$24&amp;YEAR($B$3:$B$24),0))</f>
        <v>0</v>
      </c>
      <c r="AL109" s="129" t="s">
        <v>1476</v>
      </c>
      <c r="AM109" s="129" t="str">
        <f>INDEX($A$3:$A$24,INT((AG109+11)/12))</f>
        <v>Intergovernment Revenue (330-**)</v>
      </c>
    </row>
    <row r="110" spans="33:39" x14ac:dyDescent="0.25">
      <c r="AG110" s="129">
        <v>109</v>
      </c>
      <c r="AH110" s="129" t="s">
        <v>1474</v>
      </c>
      <c r="AI110" s="131">
        <f>DATE(YEAR(INDEX($B$2:$N$24,INT((AG110+11)/12)+1,1)),IF(MOD(AG110,12)&lt;&gt;0,MOD(AG110,12),12),1)</f>
        <v>41275</v>
      </c>
      <c r="AJ110" s="129">
        <f>INDEX($C$3:$N$24,INT((AG110+11)/12),AG110-(12*(INT((AG110+11)/12)-1)))</f>
        <v>0</v>
      </c>
      <c r="AK110" s="129">
        <f t="array" ref="AK110">INDEX($P$3:$P$24,MATCH(AM110&amp;YEAR(AI110),$A$3:$A$24&amp;YEAR($B$3:$B$24),0))</f>
        <v>0</v>
      </c>
      <c r="AL110" s="129" t="s">
        <v>1476</v>
      </c>
      <c r="AM110" s="129" t="str">
        <f>INDEX($A$3:$A$24,INT((AG110+11)/12))</f>
        <v>Intergovernment Revenue (330-**)</v>
      </c>
    </row>
    <row r="111" spans="33:39" x14ac:dyDescent="0.25">
      <c r="AG111" s="129">
        <v>110</v>
      </c>
      <c r="AH111" s="129" t="s">
        <v>1474</v>
      </c>
      <c r="AI111" s="131">
        <f>DATE(YEAR(INDEX($B$2:$N$24,INT((AG111+11)/12)+1,1)),IF(MOD(AG111,12)&lt;&gt;0,MOD(AG111,12),12),1)</f>
        <v>41306</v>
      </c>
      <c r="AJ111" s="129">
        <f>INDEX($C$3:$N$24,INT((AG111+11)/12),AG111-(12*(INT((AG111+11)/12)-1)))</f>
        <v>0</v>
      </c>
      <c r="AK111" s="129">
        <f t="array" ref="AK111">INDEX($P$3:$P$24,MATCH(AM111&amp;YEAR(AI111),$A$3:$A$24&amp;YEAR($B$3:$B$24),0))</f>
        <v>0</v>
      </c>
      <c r="AL111" s="129" t="s">
        <v>1476</v>
      </c>
      <c r="AM111" s="129" t="str">
        <f>INDEX($A$3:$A$24,INT((AG111+11)/12))</f>
        <v>Intergovernment Revenue (330-**)</v>
      </c>
    </row>
    <row r="112" spans="33:39" x14ac:dyDescent="0.25">
      <c r="AG112" s="129">
        <v>111</v>
      </c>
      <c r="AH112" s="129" t="s">
        <v>1474</v>
      </c>
      <c r="AI112" s="131">
        <f>DATE(YEAR(INDEX($B$2:$N$24,INT((AG112+11)/12)+1,1)),IF(MOD(AG112,12)&lt;&gt;0,MOD(AG112,12),12),1)</f>
        <v>41334</v>
      </c>
      <c r="AJ112" s="129">
        <f>INDEX($C$3:$N$24,INT((AG112+11)/12),AG112-(12*(INT((AG112+11)/12)-1)))</f>
        <v>0</v>
      </c>
      <c r="AK112" s="129">
        <f t="array" ref="AK112">INDEX($P$3:$P$24,MATCH(AM112&amp;YEAR(AI112),$A$3:$A$24&amp;YEAR($B$3:$B$24),0))</f>
        <v>0</v>
      </c>
      <c r="AL112" s="129" t="s">
        <v>1476</v>
      </c>
      <c r="AM112" s="129" t="str">
        <f>INDEX($A$3:$A$24,INT((AG112+11)/12))</f>
        <v>Intergovernment Revenue (330-**)</v>
      </c>
    </row>
    <row r="113" spans="33:39" x14ac:dyDescent="0.25">
      <c r="AG113" s="129">
        <v>112</v>
      </c>
      <c r="AH113" s="129" t="s">
        <v>1474</v>
      </c>
      <c r="AI113" s="131">
        <f>DATE(YEAR(INDEX($B$2:$N$24,INT((AG113+11)/12)+1,1)),IF(MOD(AG113,12)&lt;&gt;0,MOD(AG113,12),12),1)</f>
        <v>41365</v>
      </c>
      <c r="AJ113" s="129">
        <f>INDEX($C$3:$N$24,INT((AG113+11)/12),AG113-(12*(INT((AG113+11)/12)-1)))</f>
        <v>0</v>
      </c>
      <c r="AK113" s="129">
        <f t="array" ref="AK113">INDEX($P$3:$P$24,MATCH(AM113&amp;YEAR(AI113),$A$3:$A$24&amp;YEAR($B$3:$B$24),0))</f>
        <v>0</v>
      </c>
      <c r="AL113" s="129" t="s">
        <v>1476</v>
      </c>
      <c r="AM113" s="129" t="str">
        <f>INDEX($A$3:$A$24,INT((AG113+11)/12))</f>
        <v>Intergovernment Revenue (330-**)</v>
      </c>
    </row>
    <row r="114" spans="33:39" x14ac:dyDescent="0.25">
      <c r="AG114" s="129">
        <v>113</v>
      </c>
      <c r="AH114" s="129" t="s">
        <v>1474</v>
      </c>
      <c r="AI114" s="131">
        <f>DATE(YEAR(INDEX($B$2:$N$24,INT((AG114+11)/12)+1,1)),IF(MOD(AG114,12)&lt;&gt;0,MOD(AG114,12),12),1)</f>
        <v>41395</v>
      </c>
      <c r="AJ114" s="129">
        <f>INDEX($C$3:$N$24,INT((AG114+11)/12),AG114-(12*(INT((AG114+11)/12)-1)))</f>
        <v>0</v>
      </c>
      <c r="AK114" s="129">
        <f t="array" ref="AK114">INDEX($P$3:$P$24,MATCH(AM114&amp;YEAR(AI114),$A$3:$A$24&amp;YEAR($B$3:$B$24),0))</f>
        <v>0</v>
      </c>
      <c r="AL114" s="129" t="s">
        <v>1476</v>
      </c>
      <c r="AM114" s="129" t="str">
        <f>INDEX($A$3:$A$24,INT((AG114+11)/12))</f>
        <v>Intergovernment Revenue (330-**)</v>
      </c>
    </row>
    <row r="115" spans="33:39" x14ac:dyDescent="0.25">
      <c r="AG115" s="129">
        <v>114</v>
      </c>
      <c r="AH115" s="129" t="s">
        <v>1474</v>
      </c>
      <c r="AI115" s="131">
        <f>DATE(YEAR(INDEX($B$2:$N$24,INT((AG115+11)/12)+1,1)),IF(MOD(AG115,12)&lt;&gt;0,MOD(AG115,12),12),1)</f>
        <v>41426</v>
      </c>
      <c r="AJ115" s="129">
        <f>INDEX($C$3:$N$24,INT((AG115+11)/12),AG115-(12*(INT((AG115+11)/12)-1)))</f>
        <v>0</v>
      </c>
      <c r="AK115" s="129">
        <f t="array" ref="AK115">INDEX($P$3:$P$24,MATCH(AM115&amp;YEAR(AI115),$A$3:$A$24&amp;YEAR($B$3:$B$24),0))</f>
        <v>0</v>
      </c>
      <c r="AL115" s="129" t="s">
        <v>1476</v>
      </c>
      <c r="AM115" s="129" t="str">
        <f>INDEX($A$3:$A$24,INT((AG115+11)/12))</f>
        <v>Intergovernment Revenue (330-**)</v>
      </c>
    </row>
    <row r="116" spans="33:39" x14ac:dyDescent="0.25">
      <c r="AG116" s="129">
        <v>115</v>
      </c>
      <c r="AH116" s="129" t="s">
        <v>1474</v>
      </c>
      <c r="AI116" s="131">
        <f>DATE(YEAR(INDEX($B$2:$N$24,INT((AG116+11)/12)+1,1)),IF(MOD(AG116,12)&lt;&gt;0,MOD(AG116,12),12),1)</f>
        <v>41456</v>
      </c>
      <c r="AJ116" s="129">
        <f>INDEX($C$3:$N$24,INT((AG116+11)/12),AG116-(12*(INT((AG116+11)/12)-1)))</f>
        <v>0</v>
      </c>
      <c r="AK116" s="129">
        <f t="array" ref="AK116">INDEX($P$3:$P$24,MATCH(AM116&amp;YEAR(AI116),$A$3:$A$24&amp;YEAR($B$3:$B$24),0))</f>
        <v>0</v>
      </c>
      <c r="AL116" s="129" t="s">
        <v>1476</v>
      </c>
      <c r="AM116" s="129" t="str">
        <f>INDEX($A$3:$A$24,INT((AG116+11)/12))</f>
        <v>Intergovernment Revenue (330-**)</v>
      </c>
    </row>
    <row r="117" spans="33:39" x14ac:dyDescent="0.25">
      <c r="AG117" s="129">
        <v>116</v>
      </c>
      <c r="AH117" s="129" t="s">
        <v>1474</v>
      </c>
      <c r="AI117" s="131">
        <f>DATE(YEAR(INDEX($B$2:$N$24,INT((AG117+11)/12)+1,1)),IF(MOD(AG117,12)&lt;&gt;0,MOD(AG117,12),12),1)</f>
        <v>41487</v>
      </c>
      <c r="AJ117" s="129">
        <f>INDEX($C$3:$N$24,INT((AG117+11)/12),AG117-(12*(INT((AG117+11)/12)-1)))</f>
        <v>0</v>
      </c>
      <c r="AK117" s="129">
        <f t="array" ref="AK117">INDEX($P$3:$P$24,MATCH(AM117&amp;YEAR(AI117),$A$3:$A$24&amp;YEAR($B$3:$B$24),0))</f>
        <v>0</v>
      </c>
      <c r="AL117" s="129" t="s">
        <v>1476</v>
      </c>
      <c r="AM117" s="129" t="str">
        <f>INDEX($A$3:$A$24,INT((AG117+11)/12))</f>
        <v>Intergovernment Revenue (330-**)</v>
      </c>
    </row>
    <row r="118" spans="33:39" x14ac:dyDescent="0.25">
      <c r="AG118" s="129">
        <v>117</v>
      </c>
      <c r="AH118" s="129" t="s">
        <v>1474</v>
      </c>
      <c r="AI118" s="131">
        <f>DATE(YEAR(INDEX($B$2:$N$24,INT((AG118+11)/12)+1,1)),IF(MOD(AG118,12)&lt;&gt;0,MOD(AG118,12),12),1)</f>
        <v>41518</v>
      </c>
      <c r="AJ118" s="129">
        <f>INDEX($C$3:$N$24,INT((AG118+11)/12),AG118-(12*(INT((AG118+11)/12)-1)))</f>
        <v>0</v>
      </c>
      <c r="AK118" s="129">
        <f t="array" ref="AK118">INDEX($P$3:$P$24,MATCH(AM118&amp;YEAR(AI118),$A$3:$A$24&amp;YEAR($B$3:$B$24),0))</f>
        <v>0</v>
      </c>
      <c r="AL118" s="129" t="s">
        <v>1476</v>
      </c>
      <c r="AM118" s="129" t="str">
        <f>INDEX($A$3:$A$24,INT((AG118+11)/12))</f>
        <v>Intergovernment Revenue (330-**)</v>
      </c>
    </row>
    <row r="119" spans="33:39" x14ac:dyDescent="0.25">
      <c r="AG119" s="129">
        <v>118</v>
      </c>
      <c r="AH119" s="129" t="s">
        <v>1474</v>
      </c>
      <c r="AI119" s="131">
        <f>DATE(YEAR(INDEX($B$2:$N$24,INT((AG119+11)/12)+1,1)),IF(MOD(AG119,12)&lt;&gt;0,MOD(AG119,12),12),1)</f>
        <v>41548</v>
      </c>
      <c r="AJ119" s="129">
        <f>INDEX($C$3:$N$24,INT((AG119+11)/12),AG119-(12*(INT((AG119+11)/12)-1)))</f>
        <v>0</v>
      </c>
      <c r="AK119" s="129">
        <f t="array" ref="AK119">INDEX($P$3:$P$24,MATCH(AM119&amp;YEAR(AI119),$A$3:$A$24&amp;YEAR($B$3:$B$24),0))</f>
        <v>0</v>
      </c>
      <c r="AL119" s="129" t="s">
        <v>1476</v>
      </c>
      <c r="AM119" s="129" t="str">
        <f>INDEX($A$3:$A$24,INT((AG119+11)/12))</f>
        <v>Intergovernment Revenue (330-**)</v>
      </c>
    </row>
    <row r="120" spans="33:39" x14ac:dyDescent="0.25">
      <c r="AG120" s="129">
        <v>119</v>
      </c>
      <c r="AH120" s="129" t="s">
        <v>1474</v>
      </c>
      <c r="AI120" s="131">
        <f>DATE(YEAR(INDEX($B$2:$N$24,INT((AG120+11)/12)+1,1)),IF(MOD(AG120,12)&lt;&gt;0,MOD(AG120,12),12),1)</f>
        <v>41579</v>
      </c>
      <c r="AJ120" s="129">
        <f>INDEX($C$3:$N$24,INT((AG120+11)/12),AG120-(12*(INT((AG120+11)/12)-1)))</f>
        <v>0</v>
      </c>
      <c r="AK120" s="129">
        <f t="array" ref="AK120">INDEX($P$3:$P$24,MATCH(AM120&amp;YEAR(AI120),$A$3:$A$24&amp;YEAR($B$3:$B$24),0))</f>
        <v>0</v>
      </c>
      <c r="AL120" s="129" t="s">
        <v>1476</v>
      </c>
      <c r="AM120" s="129" t="str">
        <f>INDEX($A$3:$A$24,INT((AG120+11)/12))</f>
        <v>Intergovernment Revenue (330-**)</v>
      </c>
    </row>
    <row r="121" spans="33:39" x14ac:dyDescent="0.25">
      <c r="AG121" s="129">
        <v>120</v>
      </c>
      <c r="AH121" s="129" t="s">
        <v>1474</v>
      </c>
      <c r="AI121" s="131">
        <f>DATE(YEAR(INDEX($B$2:$N$24,INT((AG121+11)/12)+1,1)),IF(MOD(AG121,12)&lt;&gt;0,MOD(AG121,12),12),1)</f>
        <v>41609</v>
      </c>
      <c r="AJ121" s="129">
        <f>INDEX($C$3:$N$24,INT((AG121+11)/12),AG121-(12*(INT((AG121+11)/12)-1)))</f>
        <v>0</v>
      </c>
      <c r="AK121" s="129">
        <f t="array" ref="AK121">INDEX($P$3:$P$24,MATCH(AM121&amp;YEAR(AI121),$A$3:$A$24&amp;YEAR($B$3:$B$24),0))</f>
        <v>0</v>
      </c>
      <c r="AL121" s="129" t="s">
        <v>1476</v>
      </c>
      <c r="AM121" s="129" t="str">
        <f>INDEX($A$3:$A$24,INT((AG121+11)/12))</f>
        <v>Intergovernment Revenue (330-**)</v>
      </c>
    </row>
    <row r="122" spans="33:39" x14ac:dyDescent="0.25">
      <c r="AG122" s="129">
        <v>121</v>
      </c>
      <c r="AH122" s="129" t="s">
        <v>1474</v>
      </c>
      <c r="AI122" s="131">
        <f>DATE(YEAR(INDEX($B$2:$N$24,INT((AG122+11)/12)+1,1)),IF(MOD(AG122,12)&lt;&gt;0,MOD(AG122,12),12),1)</f>
        <v>40909</v>
      </c>
      <c r="AJ122" s="129">
        <f>INDEX($C$3:$N$24,INT((AG122+11)/12),AG122-(12*(INT((AG122+11)/12)-1)))</f>
        <v>0</v>
      </c>
      <c r="AK122" s="129">
        <f t="array" ref="AK122">INDEX($P$3:$P$24,MATCH(AM122&amp;YEAR(AI122),$A$3:$A$24&amp;YEAR($B$3:$B$24),0))</f>
        <v>0</v>
      </c>
      <c r="AL122" s="129" t="s">
        <v>1476</v>
      </c>
      <c r="AM122" s="129" t="str">
        <f>INDEX($A$3:$A$24,INT((AG122+11)/12))</f>
        <v>Misc Revenue (360-10)</v>
      </c>
    </row>
    <row r="123" spans="33:39" x14ac:dyDescent="0.25">
      <c r="AG123" s="129">
        <v>122</v>
      </c>
      <c r="AH123" s="129" t="s">
        <v>1474</v>
      </c>
      <c r="AI123" s="131">
        <f>DATE(YEAR(INDEX($B$2:$N$24,INT((AG123+11)/12)+1,1)),IF(MOD(AG123,12)&lt;&gt;0,MOD(AG123,12),12),1)</f>
        <v>40940</v>
      </c>
      <c r="AJ123" s="129">
        <f>INDEX($C$3:$N$24,INT((AG123+11)/12),AG123-(12*(INT((AG123+11)/12)-1)))</f>
        <v>0</v>
      </c>
      <c r="AK123" s="129">
        <f t="array" ref="AK123">INDEX($P$3:$P$24,MATCH(AM123&amp;YEAR(AI123),$A$3:$A$24&amp;YEAR($B$3:$B$24),0))</f>
        <v>0</v>
      </c>
      <c r="AL123" s="129" t="s">
        <v>1476</v>
      </c>
      <c r="AM123" s="129" t="str">
        <f>INDEX($A$3:$A$24,INT((AG123+11)/12))</f>
        <v>Misc Revenue (360-10)</v>
      </c>
    </row>
    <row r="124" spans="33:39" x14ac:dyDescent="0.25">
      <c r="AG124" s="129">
        <v>123</v>
      </c>
      <c r="AH124" s="129" t="s">
        <v>1474</v>
      </c>
      <c r="AI124" s="131">
        <f>DATE(YEAR(INDEX($B$2:$N$24,INT((AG124+11)/12)+1,1)),IF(MOD(AG124,12)&lt;&gt;0,MOD(AG124,12),12),1)</f>
        <v>40969</v>
      </c>
      <c r="AJ124" s="129">
        <f>INDEX($C$3:$N$24,INT((AG124+11)/12),AG124-(12*(INT((AG124+11)/12)-1)))</f>
        <v>0</v>
      </c>
      <c r="AK124" s="129">
        <f t="array" ref="AK124">INDEX($P$3:$P$24,MATCH(AM124&amp;YEAR(AI124),$A$3:$A$24&amp;YEAR($B$3:$B$24),0))</f>
        <v>0</v>
      </c>
      <c r="AL124" s="129" t="s">
        <v>1476</v>
      </c>
      <c r="AM124" s="129" t="str">
        <f>INDEX($A$3:$A$24,INT((AG124+11)/12))</f>
        <v>Misc Revenue (360-10)</v>
      </c>
    </row>
    <row r="125" spans="33:39" x14ac:dyDescent="0.25">
      <c r="AG125" s="129">
        <v>124</v>
      </c>
      <c r="AH125" s="129" t="s">
        <v>1474</v>
      </c>
      <c r="AI125" s="131">
        <f>DATE(YEAR(INDEX($B$2:$N$24,INT((AG125+11)/12)+1,1)),IF(MOD(AG125,12)&lt;&gt;0,MOD(AG125,12),12),1)</f>
        <v>41000</v>
      </c>
      <c r="AJ125" s="129">
        <f>INDEX($C$3:$N$24,INT((AG125+11)/12),AG125-(12*(INT((AG125+11)/12)-1)))</f>
        <v>0</v>
      </c>
      <c r="AK125" s="129">
        <f t="array" ref="AK125">INDEX($P$3:$P$24,MATCH(AM125&amp;YEAR(AI125),$A$3:$A$24&amp;YEAR($B$3:$B$24),0))</f>
        <v>0</v>
      </c>
      <c r="AL125" s="129" t="s">
        <v>1476</v>
      </c>
      <c r="AM125" s="129" t="str">
        <f>INDEX($A$3:$A$24,INT((AG125+11)/12))</f>
        <v>Misc Revenue (360-10)</v>
      </c>
    </row>
    <row r="126" spans="33:39" x14ac:dyDescent="0.25">
      <c r="AG126" s="129">
        <v>125</v>
      </c>
      <c r="AH126" s="129" t="s">
        <v>1474</v>
      </c>
      <c r="AI126" s="131">
        <f>DATE(YEAR(INDEX($B$2:$N$24,INT((AG126+11)/12)+1,1)),IF(MOD(AG126,12)&lt;&gt;0,MOD(AG126,12),12),1)</f>
        <v>41030</v>
      </c>
      <c r="AJ126" s="129">
        <f>INDEX($C$3:$N$24,INT((AG126+11)/12),AG126-(12*(INT((AG126+11)/12)-1)))</f>
        <v>0</v>
      </c>
      <c r="AK126" s="129">
        <f t="array" ref="AK126">INDEX($P$3:$P$24,MATCH(AM126&amp;YEAR(AI126),$A$3:$A$24&amp;YEAR($B$3:$B$24),0))</f>
        <v>0</v>
      </c>
      <c r="AL126" s="129" t="s">
        <v>1476</v>
      </c>
      <c r="AM126" s="129" t="str">
        <f>INDEX($A$3:$A$24,INT((AG126+11)/12))</f>
        <v>Misc Revenue (360-10)</v>
      </c>
    </row>
    <row r="127" spans="33:39" x14ac:dyDescent="0.25">
      <c r="AG127" s="129">
        <v>126</v>
      </c>
      <c r="AH127" s="129" t="s">
        <v>1474</v>
      </c>
      <c r="AI127" s="131">
        <f>DATE(YEAR(INDEX($B$2:$N$24,INT((AG127+11)/12)+1,1)),IF(MOD(AG127,12)&lt;&gt;0,MOD(AG127,12),12),1)</f>
        <v>41061</v>
      </c>
      <c r="AJ127" s="129">
        <f>INDEX($C$3:$N$24,INT((AG127+11)/12),AG127-(12*(INT((AG127+11)/12)-1)))</f>
        <v>0</v>
      </c>
      <c r="AK127" s="129">
        <f t="array" ref="AK127">INDEX($P$3:$P$24,MATCH(AM127&amp;YEAR(AI127),$A$3:$A$24&amp;YEAR($B$3:$B$24),0))</f>
        <v>0</v>
      </c>
      <c r="AL127" s="129" t="s">
        <v>1476</v>
      </c>
      <c r="AM127" s="129" t="str">
        <f>INDEX($A$3:$A$24,INT((AG127+11)/12))</f>
        <v>Misc Revenue (360-10)</v>
      </c>
    </row>
    <row r="128" spans="33:39" x14ac:dyDescent="0.25">
      <c r="AG128" s="129">
        <v>127</v>
      </c>
      <c r="AH128" s="129" t="s">
        <v>1474</v>
      </c>
      <c r="AI128" s="131">
        <f>DATE(YEAR(INDEX($B$2:$N$24,INT((AG128+11)/12)+1,1)),IF(MOD(AG128,12)&lt;&gt;0,MOD(AG128,12),12),1)</f>
        <v>41091</v>
      </c>
      <c r="AJ128" s="129">
        <f>INDEX($C$3:$N$24,INT((AG128+11)/12),AG128-(12*(INT((AG128+11)/12)-1)))</f>
        <v>0</v>
      </c>
      <c r="AK128" s="129">
        <f t="array" ref="AK128">INDEX($P$3:$P$24,MATCH(AM128&amp;YEAR(AI128),$A$3:$A$24&amp;YEAR($B$3:$B$24),0))</f>
        <v>0</v>
      </c>
      <c r="AL128" s="129" t="s">
        <v>1476</v>
      </c>
      <c r="AM128" s="129" t="str">
        <f>INDEX($A$3:$A$24,INT((AG128+11)/12))</f>
        <v>Misc Revenue (360-10)</v>
      </c>
    </row>
    <row r="129" spans="33:39" x14ac:dyDescent="0.25">
      <c r="AG129" s="129">
        <v>128</v>
      </c>
      <c r="AH129" s="129" t="s">
        <v>1474</v>
      </c>
      <c r="AI129" s="131">
        <f>DATE(YEAR(INDEX($B$2:$N$24,INT((AG129+11)/12)+1,1)),IF(MOD(AG129,12)&lt;&gt;0,MOD(AG129,12),12),1)</f>
        <v>41122</v>
      </c>
      <c r="AJ129" s="129">
        <f>INDEX($C$3:$N$24,INT((AG129+11)/12),AG129-(12*(INT((AG129+11)/12)-1)))</f>
        <v>0</v>
      </c>
      <c r="AK129" s="129">
        <f t="array" ref="AK129">INDEX($P$3:$P$24,MATCH(AM129&amp;YEAR(AI129),$A$3:$A$24&amp;YEAR($B$3:$B$24),0))</f>
        <v>0</v>
      </c>
      <c r="AL129" s="129" t="s">
        <v>1476</v>
      </c>
      <c r="AM129" s="129" t="str">
        <f>INDEX($A$3:$A$24,INT((AG129+11)/12))</f>
        <v>Misc Revenue (360-10)</v>
      </c>
    </row>
    <row r="130" spans="33:39" x14ac:dyDescent="0.25">
      <c r="AG130" s="129">
        <v>129</v>
      </c>
      <c r="AH130" s="129" t="s">
        <v>1474</v>
      </c>
      <c r="AI130" s="131">
        <f>DATE(YEAR(INDEX($B$2:$N$24,INT((AG130+11)/12)+1,1)),IF(MOD(AG130,12)&lt;&gt;0,MOD(AG130,12),12),1)</f>
        <v>41153</v>
      </c>
      <c r="AJ130" s="129">
        <f>INDEX($C$3:$N$24,INT((AG130+11)/12),AG130-(12*(INT((AG130+11)/12)-1)))</f>
        <v>0</v>
      </c>
      <c r="AK130" s="129">
        <f t="array" ref="AK130">INDEX($P$3:$P$24,MATCH(AM130&amp;YEAR(AI130),$A$3:$A$24&amp;YEAR($B$3:$B$24),0))</f>
        <v>0</v>
      </c>
      <c r="AL130" s="129" t="s">
        <v>1476</v>
      </c>
      <c r="AM130" s="129" t="str">
        <f>INDEX($A$3:$A$24,INT((AG130+11)/12))</f>
        <v>Misc Revenue (360-10)</v>
      </c>
    </row>
    <row r="131" spans="33:39" x14ac:dyDescent="0.25">
      <c r="AG131" s="129">
        <v>130</v>
      </c>
      <c r="AH131" s="129" t="s">
        <v>1474</v>
      </c>
      <c r="AI131" s="131">
        <f>DATE(YEAR(INDEX($B$2:$N$24,INT((AG131+11)/12)+1,1)),IF(MOD(AG131,12)&lt;&gt;0,MOD(AG131,12),12),1)</f>
        <v>41183</v>
      </c>
      <c r="AJ131" s="129">
        <f>INDEX($C$3:$N$24,INT((AG131+11)/12),AG131-(12*(INT((AG131+11)/12)-1)))</f>
        <v>100</v>
      </c>
      <c r="AK131" s="129">
        <f t="array" ref="AK131">INDEX($P$3:$P$24,MATCH(AM131&amp;YEAR(AI131),$A$3:$A$24&amp;YEAR($B$3:$B$24),0))</f>
        <v>0</v>
      </c>
      <c r="AL131" s="129" t="s">
        <v>1476</v>
      </c>
      <c r="AM131" s="129" t="str">
        <f>INDEX($A$3:$A$24,INT((AG131+11)/12))</f>
        <v>Misc Revenue (360-10)</v>
      </c>
    </row>
    <row r="132" spans="33:39" x14ac:dyDescent="0.25">
      <c r="AG132" s="129">
        <v>131</v>
      </c>
      <c r="AH132" s="129" t="s">
        <v>1474</v>
      </c>
      <c r="AI132" s="131">
        <f>DATE(YEAR(INDEX($B$2:$N$24,INT((AG132+11)/12)+1,1)),IF(MOD(AG132,12)&lt;&gt;0,MOD(AG132,12),12),1)</f>
        <v>41214</v>
      </c>
      <c r="AJ132" s="129">
        <f>INDEX($C$3:$N$24,INT((AG132+11)/12),AG132-(12*(INT((AG132+11)/12)-1)))</f>
        <v>0</v>
      </c>
      <c r="AK132" s="129">
        <f t="array" ref="AK132">INDEX($P$3:$P$24,MATCH(AM132&amp;YEAR(AI132),$A$3:$A$24&amp;YEAR($B$3:$B$24),0))</f>
        <v>0</v>
      </c>
      <c r="AL132" s="129" t="s">
        <v>1476</v>
      </c>
      <c r="AM132" s="129" t="str">
        <f>INDEX($A$3:$A$24,INT((AG132+11)/12))</f>
        <v>Misc Revenue (360-10)</v>
      </c>
    </row>
    <row r="133" spans="33:39" x14ac:dyDescent="0.25">
      <c r="AG133" s="129">
        <v>132</v>
      </c>
      <c r="AH133" s="129" t="s">
        <v>1474</v>
      </c>
      <c r="AI133" s="131">
        <f>DATE(YEAR(INDEX($B$2:$N$24,INT((AG133+11)/12)+1,1)),IF(MOD(AG133,12)&lt;&gt;0,MOD(AG133,12),12),1)</f>
        <v>41244</v>
      </c>
      <c r="AJ133" s="129">
        <f>INDEX($C$3:$N$24,INT((AG133+11)/12),AG133-(12*(INT((AG133+11)/12)-1)))</f>
        <v>100</v>
      </c>
      <c r="AK133" s="129">
        <f t="array" ref="AK133">INDEX($P$3:$P$24,MATCH(AM133&amp;YEAR(AI133),$A$3:$A$24&amp;YEAR($B$3:$B$24),0))</f>
        <v>0</v>
      </c>
      <c r="AL133" s="129" t="s">
        <v>1476</v>
      </c>
      <c r="AM133" s="129" t="str">
        <f>INDEX($A$3:$A$24,INT((AG133+11)/12))</f>
        <v>Misc Revenue (360-10)</v>
      </c>
    </row>
    <row r="134" spans="33:39" x14ac:dyDescent="0.25">
      <c r="AG134" s="129">
        <v>133</v>
      </c>
      <c r="AH134" s="129" t="s">
        <v>1474</v>
      </c>
      <c r="AI134" s="131">
        <f>DATE(YEAR(INDEX($B$2:$N$24,INT((AG134+11)/12)+1,1)),IF(MOD(AG134,12)&lt;&gt;0,MOD(AG134,12),12),1)</f>
        <v>41275</v>
      </c>
      <c r="AJ134" s="129">
        <f>INDEX($C$3:$N$24,INT((AG134+11)/12),AG134-(12*(INT((AG134+11)/12)-1)))</f>
        <v>0</v>
      </c>
      <c r="AK134" s="129">
        <f t="array" ref="AK134">INDEX($P$3:$P$24,MATCH(AM134&amp;YEAR(AI134),$A$3:$A$24&amp;YEAR($B$3:$B$24),0))</f>
        <v>2000</v>
      </c>
      <c r="AL134" s="129" t="s">
        <v>1476</v>
      </c>
      <c r="AM134" s="129" t="str">
        <f>INDEX($A$3:$A$24,INT((AG134+11)/12))</f>
        <v>Misc Revenue (360-10)</v>
      </c>
    </row>
    <row r="135" spans="33:39" x14ac:dyDescent="0.25">
      <c r="AG135" s="129">
        <v>134</v>
      </c>
      <c r="AH135" s="129" t="s">
        <v>1474</v>
      </c>
      <c r="AI135" s="131">
        <f>DATE(YEAR(INDEX($B$2:$N$24,INT((AG135+11)/12)+1,1)),IF(MOD(AG135,12)&lt;&gt;0,MOD(AG135,12),12),1)</f>
        <v>41306</v>
      </c>
      <c r="AJ135" s="129">
        <f>INDEX($C$3:$N$24,INT((AG135+11)/12),AG135-(12*(INT((AG135+11)/12)-1)))</f>
        <v>0</v>
      </c>
      <c r="AK135" s="129">
        <f t="array" ref="AK135">INDEX($P$3:$P$24,MATCH(AM135&amp;YEAR(AI135),$A$3:$A$24&amp;YEAR($B$3:$B$24),0))</f>
        <v>2000</v>
      </c>
      <c r="AL135" s="129" t="s">
        <v>1476</v>
      </c>
      <c r="AM135" s="129" t="str">
        <f>INDEX($A$3:$A$24,INT((AG135+11)/12))</f>
        <v>Misc Revenue (360-10)</v>
      </c>
    </row>
    <row r="136" spans="33:39" x14ac:dyDescent="0.25">
      <c r="AG136" s="129">
        <v>135</v>
      </c>
      <c r="AH136" s="129" t="s">
        <v>1474</v>
      </c>
      <c r="AI136" s="131">
        <f>DATE(YEAR(INDEX($B$2:$N$24,INT((AG136+11)/12)+1,1)),IF(MOD(AG136,12)&lt;&gt;0,MOD(AG136,12),12),1)</f>
        <v>41334</v>
      </c>
      <c r="AJ136" s="129">
        <f>INDEX($C$3:$N$24,INT((AG136+11)/12),AG136-(12*(INT((AG136+11)/12)-1)))</f>
        <v>0</v>
      </c>
      <c r="AK136" s="129">
        <f t="array" ref="AK136">INDEX($P$3:$P$24,MATCH(AM136&amp;YEAR(AI136),$A$3:$A$24&amp;YEAR($B$3:$B$24),0))</f>
        <v>2000</v>
      </c>
      <c r="AL136" s="129" t="s">
        <v>1476</v>
      </c>
      <c r="AM136" s="129" t="str">
        <f>INDEX($A$3:$A$24,INT((AG136+11)/12))</f>
        <v>Misc Revenue (360-10)</v>
      </c>
    </row>
    <row r="137" spans="33:39" x14ac:dyDescent="0.25">
      <c r="AG137" s="129">
        <v>136</v>
      </c>
      <c r="AH137" s="129" t="s">
        <v>1474</v>
      </c>
      <c r="AI137" s="131">
        <f>DATE(YEAR(INDEX($B$2:$N$24,INT((AG137+11)/12)+1,1)),IF(MOD(AG137,12)&lt;&gt;0,MOD(AG137,12),12),1)</f>
        <v>41365</v>
      </c>
      <c r="AJ137" s="129">
        <f>INDEX($C$3:$N$24,INT((AG137+11)/12),AG137-(12*(INT((AG137+11)/12)-1)))</f>
        <v>0</v>
      </c>
      <c r="AK137" s="129">
        <f t="array" ref="AK137">INDEX($P$3:$P$24,MATCH(AM137&amp;YEAR(AI137),$A$3:$A$24&amp;YEAR($B$3:$B$24),0))</f>
        <v>2000</v>
      </c>
      <c r="AL137" s="129" t="s">
        <v>1476</v>
      </c>
      <c r="AM137" s="129" t="str">
        <f>INDEX($A$3:$A$24,INT((AG137+11)/12))</f>
        <v>Misc Revenue (360-10)</v>
      </c>
    </row>
    <row r="138" spans="33:39" x14ac:dyDescent="0.25">
      <c r="AG138" s="129">
        <v>137</v>
      </c>
      <c r="AH138" s="129" t="s">
        <v>1474</v>
      </c>
      <c r="AI138" s="131">
        <f>DATE(YEAR(INDEX($B$2:$N$24,INT((AG138+11)/12)+1,1)),IF(MOD(AG138,12)&lt;&gt;0,MOD(AG138,12),12),1)</f>
        <v>41395</v>
      </c>
      <c r="AJ138" s="129">
        <f>INDEX($C$3:$N$24,INT((AG138+11)/12),AG138-(12*(INT((AG138+11)/12)-1)))</f>
        <v>0</v>
      </c>
      <c r="AK138" s="129">
        <f t="array" ref="AK138">INDEX($P$3:$P$24,MATCH(AM138&amp;YEAR(AI138),$A$3:$A$24&amp;YEAR($B$3:$B$24),0))</f>
        <v>2000</v>
      </c>
      <c r="AL138" s="129" t="s">
        <v>1476</v>
      </c>
      <c r="AM138" s="129" t="str">
        <f>INDEX($A$3:$A$24,INT((AG138+11)/12))</f>
        <v>Misc Revenue (360-10)</v>
      </c>
    </row>
    <row r="139" spans="33:39" x14ac:dyDescent="0.25">
      <c r="AG139" s="129">
        <v>138</v>
      </c>
      <c r="AH139" s="129" t="s">
        <v>1474</v>
      </c>
      <c r="AI139" s="131">
        <f>DATE(YEAR(INDEX($B$2:$N$24,INT((AG139+11)/12)+1,1)),IF(MOD(AG139,12)&lt;&gt;0,MOD(AG139,12),12),1)</f>
        <v>41426</v>
      </c>
      <c r="AJ139" s="129">
        <f>INDEX($C$3:$N$24,INT((AG139+11)/12),AG139-(12*(INT((AG139+11)/12)-1)))</f>
        <v>0</v>
      </c>
      <c r="AK139" s="129">
        <f t="array" ref="AK139">INDEX($P$3:$P$24,MATCH(AM139&amp;YEAR(AI139),$A$3:$A$24&amp;YEAR($B$3:$B$24),0))</f>
        <v>2000</v>
      </c>
      <c r="AL139" s="129" t="s">
        <v>1476</v>
      </c>
      <c r="AM139" s="129" t="str">
        <f>INDEX($A$3:$A$24,INT((AG139+11)/12))</f>
        <v>Misc Revenue (360-10)</v>
      </c>
    </row>
    <row r="140" spans="33:39" x14ac:dyDescent="0.25">
      <c r="AG140" s="129">
        <v>139</v>
      </c>
      <c r="AH140" s="129" t="s">
        <v>1474</v>
      </c>
      <c r="AI140" s="131">
        <f>DATE(YEAR(INDEX($B$2:$N$24,INT((AG140+11)/12)+1,1)),IF(MOD(AG140,12)&lt;&gt;0,MOD(AG140,12),12),1)</f>
        <v>41456</v>
      </c>
      <c r="AJ140" s="129">
        <f>INDEX($C$3:$N$24,INT((AG140+11)/12),AG140-(12*(INT((AG140+11)/12)-1)))</f>
        <v>0</v>
      </c>
      <c r="AK140" s="129">
        <f t="array" ref="AK140">INDEX($P$3:$P$24,MATCH(AM140&amp;YEAR(AI140),$A$3:$A$24&amp;YEAR($B$3:$B$24),0))</f>
        <v>2000</v>
      </c>
      <c r="AL140" s="129" t="s">
        <v>1476</v>
      </c>
      <c r="AM140" s="129" t="str">
        <f>INDEX($A$3:$A$24,INT((AG140+11)/12))</f>
        <v>Misc Revenue (360-10)</v>
      </c>
    </row>
    <row r="141" spans="33:39" x14ac:dyDescent="0.25">
      <c r="AG141" s="129">
        <v>140</v>
      </c>
      <c r="AH141" s="129" t="s">
        <v>1474</v>
      </c>
      <c r="AI141" s="131">
        <f>DATE(YEAR(INDEX($B$2:$N$24,INT((AG141+11)/12)+1,1)),IF(MOD(AG141,12)&lt;&gt;0,MOD(AG141,12),12),1)</f>
        <v>41487</v>
      </c>
      <c r="AJ141" s="129">
        <f>INDEX($C$3:$N$24,INT((AG141+11)/12),AG141-(12*(INT((AG141+11)/12)-1)))</f>
        <v>0</v>
      </c>
      <c r="AK141" s="129">
        <f t="array" ref="AK141">INDEX($P$3:$P$24,MATCH(AM141&amp;YEAR(AI141),$A$3:$A$24&amp;YEAR($B$3:$B$24),0))</f>
        <v>2000</v>
      </c>
      <c r="AL141" s="129" t="s">
        <v>1476</v>
      </c>
      <c r="AM141" s="129" t="str">
        <f>INDEX($A$3:$A$24,INT((AG141+11)/12))</f>
        <v>Misc Revenue (360-10)</v>
      </c>
    </row>
    <row r="142" spans="33:39" x14ac:dyDescent="0.25">
      <c r="AG142" s="129">
        <v>141</v>
      </c>
      <c r="AH142" s="129" t="s">
        <v>1474</v>
      </c>
      <c r="AI142" s="131">
        <f>DATE(YEAR(INDEX($B$2:$N$24,INT((AG142+11)/12)+1,1)),IF(MOD(AG142,12)&lt;&gt;0,MOD(AG142,12),12),1)</f>
        <v>41518</v>
      </c>
      <c r="AJ142" s="129">
        <f>INDEX($C$3:$N$24,INT((AG142+11)/12),AG142-(12*(INT((AG142+11)/12)-1)))</f>
        <v>0</v>
      </c>
      <c r="AK142" s="129">
        <f t="array" ref="AK142">INDEX($P$3:$P$24,MATCH(AM142&amp;YEAR(AI142),$A$3:$A$24&amp;YEAR($B$3:$B$24),0))</f>
        <v>2000</v>
      </c>
      <c r="AL142" s="129" t="s">
        <v>1476</v>
      </c>
      <c r="AM142" s="129" t="str">
        <f>INDEX($A$3:$A$24,INT((AG142+11)/12))</f>
        <v>Misc Revenue (360-10)</v>
      </c>
    </row>
    <row r="143" spans="33:39" x14ac:dyDescent="0.25">
      <c r="AG143" s="129">
        <v>142</v>
      </c>
      <c r="AH143" s="129" t="s">
        <v>1474</v>
      </c>
      <c r="AI143" s="131">
        <f>DATE(YEAR(INDEX($B$2:$N$24,INT((AG143+11)/12)+1,1)),IF(MOD(AG143,12)&lt;&gt;0,MOD(AG143,12),12),1)</f>
        <v>41548</v>
      </c>
      <c r="AJ143" s="129">
        <f>INDEX($C$3:$N$24,INT((AG143+11)/12),AG143-(12*(INT((AG143+11)/12)-1)))</f>
        <v>0</v>
      </c>
      <c r="AK143" s="129">
        <f t="array" ref="AK143">INDEX($P$3:$P$24,MATCH(AM143&amp;YEAR(AI143),$A$3:$A$24&amp;YEAR($B$3:$B$24),0))</f>
        <v>2000</v>
      </c>
      <c r="AL143" s="129" t="s">
        <v>1476</v>
      </c>
      <c r="AM143" s="129" t="str">
        <f>INDEX($A$3:$A$24,INT((AG143+11)/12))</f>
        <v>Misc Revenue (360-10)</v>
      </c>
    </row>
    <row r="144" spans="33:39" x14ac:dyDescent="0.25">
      <c r="AG144" s="129">
        <v>143</v>
      </c>
      <c r="AH144" s="129" t="s">
        <v>1474</v>
      </c>
      <c r="AI144" s="131">
        <f>DATE(YEAR(INDEX($B$2:$N$24,INT((AG144+11)/12)+1,1)),IF(MOD(AG144,12)&lt;&gt;0,MOD(AG144,12),12),1)</f>
        <v>41579</v>
      </c>
      <c r="AJ144" s="129">
        <f>INDEX($C$3:$N$24,INT((AG144+11)/12),AG144-(12*(INT((AG144+11)/12)-1)))</f>
        <v>0</v>
      </c>
      <c r="AK144" s="129">
        <f t="array" ref="AK144">INDEX($P$3:$P$24,MATCH(AM144&amp;YEAR(AI144),$A$3:$A$24&amp;YEAR($B$3:$B$24),0))</f>
        <v>2000</v>
      </c>
      <c r="AL144" s="129" t="s">
        <v>1476</v>
      </c>
      <c r="AM144" s="129" t="str">
        <f>INDEX($A$3:$A$24,INT((AG144+11)/12))</f>
        <v>Misc Revenue (360-10)</v>
      </c>
    </row>
    <row r="145" spans="33:39" x14ac:dyDescent="0.25">
      <c r="AG145" s="129">
        <v>144</v>
      </c>
      <c r="AH145" s="129" t="s">
        <v>1474</v>
      </c>
      <c r="AI145" s="131">
        <f>DATE(YEAR(INDEX($B$2:$N$24,INT((AG145+11)/12)+1,1)),IF(MOD(AG145,12)&lt;&gt;0,MOD(AG145,12),12),1)</f>
        <v>41609</v>
      </c>
      <c r="AJ145" s="129">
        <f>INDEX($C$3:$N$24,INT((AG145+11)/12),AG145-(12*(INT((AG145+11)/12)-1)))</f>
        <v>0</v>
      </c>
      <c r="AK145" s="129">
        <f t="array" ref="AK145">INDEX($P$3:$P$24,MATCH(AM145&amp;YEAR(AI145),$A$3:$A$24&amp;YEAR($B$3:$B$24),0))</f>
        <v>2000</v>
      </c>
      <c r="AL145" s="129" t="s">
        <v>1476</v>
      </c>
      <c r="AM145" s="129" t="str">
        <f>INDEX($A$3:$A$24,INT((AG145+11)/12))</f>
        <v>Misc Revenue (360-10)</v>
      </c>
    </row>
    <row r="146" spans="33:39" x14ac:dyDescent="0.25">
      <c r="AG146" s="129">
        <v>145</v>
      </c>
      <c r="AH146" s="129" t="s">
        <v>1474</v>
      </c>
      <c r="AI146" s="131">
        <f>DATE(YEAR(INDEX($B$2:$N$24,INT((AG146+11)/12)+1,1)),IF(MOD(AG146,12)&lt;&gt;0,MOD(AG146,12),12),1)</f>
        <v>40909</v>
      </c>
      <c r="AJ146" s="129">
        <f>INDEX($C$3:$N$24,INT((AG146+11)/12),AG146-(12*(INT((AG146+11)/12)-1)))</f>
        <v>0</v>
      </c>
      <c r="AK146" s="129">
        <f t="array" ref="AK146">INDEX($P$3:$P$24,MATCH(AM146&amp;YEAR(AI146),$A$3:$A$24&amp;YEAR($B$3:$B$24),0))</f>
        <v>112500</v>
      </c>
      <c r="AL146" s="129" t="s">
        <v>1476</v>
      </c>
      <c r="AM146" s="129" t="str">
        <f>INDEX($A$3:$A$24,INT((AG146+11)/12))</f>
        <v>Interest Income -Operating (361-20)</v>
      </c>
    </row>
    <row r="147" spans="33:39" x14ac:dyDescent="0.25">
      <c r="AG147" s="129">
        <v>146</v>
      </c>
      <c r="AH147" s="129" t="s">
        <v>1474</v>
      </c>
      <c r="AI147" s="131">
        <f>DATE(YEAR(INDEX($B$2:$N$24,INT((AG147+11)/12)+1,1)),IF(MOD(AG147,12)&lt;&gt;0,MOD(AG147,12),12),1)</f>
        <v>40940</v>
      </c>
      <c r="AJ147" s="129">
        <f>INDEX($C$3:$N$24,INT((AG147+11)/12),AG147-(12*(INT((AG147+11)/12)-1)))</f>
        <v>4901.91</v>
      </c>
      <c r="AK147" s="129">
        <f t="array" ref="AK147">INDEX($P$3:$P$24,MATCH(AM147&amp;YEAR(AI147),$A$3:$A$24&amp;YEAR($B$3:$B$24),0))</f>
        <v>112500</v>
      </c>
      <c r="AL147" s="129" t="s">
        <v>1476</v>
      </c>
      <c r="AM147" s="129" t="str">
        <f>INDEX($A$3:$A$24,INT((AG147+11)/12))</f>
        <v>Interest Income -Operating (361-20)</v>
      </c>
    </row>
    <row r="148" spans="33:39" x14ac:dyDescent="0.25">
      <c r="AG148" s="129">
        <v>147</v>
      </c>
      <c r="AH148" s="129" t="s">
        <v>1474</v>
      </c>
      <c r="AI148" s="131">
        <f>DATE(YEAR(INDEX($B$2:$N$24,INT((AG148+11)/12)+1,1)),IF(MOD(AG148,12)&lt;&gt;0,MOD(AG148,12),12),1)</f>
        <v>40969</v>
      </c>
      <c r="AJ148" s="129">
        <f>INDEX($C$3:$N$24,INT((AG148+11)/12),AG148-(12*(INT((AG148+11)/12)-1)))</f>
        <v>5002.08</v>
      </c>
      <c r="AK148" s="129">
        <f t="array" ref="AK148">INDEX($P$3:$P$24,MATCH(AM148&amp;YEAR(AI148),$A$3:$A$24&amp;YEAR($B$3:$B$24),0))</f>
        <v>112500</v>
      </c>
      <c r="AL148" s="129" t="s">
        <v>1476</v>
      </c>
      <c r="AM148" s="129" t="str">
        <f>INDEX($A$3:$A$24,INT((AG148+11)/12))</f>
        <v>Interest Income -Operating (361-20)</v>
      </c>
    </row>
    <row r="149" spans="33:39" x14ac:dyDescent="0.25">
      <c r="AG149" s="129">
        <v>148</v>
      </c>
      <c r="AH149" s="129" t="s">
        <v>1474</v>
      </c>
      <c r="AI149" s="131">
        <f>DATE(YEAR(INDEX($B$2:$N$24,INT((AG149+11)/12)+1,1)),IF(MOD(AG149,12)&lt;&gt;0,MOD(AG149,12),12),1)</f>
        <v>41000</v>
      </c>
      <c r="AJ149" s="129">
        <f>INDEX($C$3:$N$24,INT((AG149+11)/12),AG149-(12*(INT((AG149+11)/12)-1)))</f>
        <v>4657.3</v>
      </c>
      <c r="AK149" s="129">
        <f t="array" ref="AK149">INDEX($P$3:$P$24,MATCH(AM149&amp;YEAR(AI149),$A$3:$A$24&amp;YEAR($B$3:$B$24),0))</f>
        <v>112500</v>
      </c>
      <c r="AL149" s="129" t="s">
        <v>1476</v>
      </c>
      <c r="AM149" s="129" t="str">
        <f>INDEX($A$3:$A$24,INT((AG149+11)/12))</f>
        <v>Interest Income -Operating (361-20)</v>
      </c>
    </row>
    <row r="150" spans="33:39" x14ac:dyDescent="0.25">
      <c r="AG150" s="129">
        <v>149</v>
      </c>
      <c r="AH150" s="129" t="s">
        <v>1474</v>
      </c>
      <c r="AI150" s="131">
        <f>DATE(YEAR(INDEX($B$2:$N$24,INT((AG150+11)/12)+1,1)),IF(MOD(AG150,12)&lt;&gt;0,MOD(AG150,12),12),1)</f>
        <v>41030</v>
      </c>
      <c r="AJ150" s="129">
        <f>INDEX($C$3:$N$24,INT((AG150+11)/12),AG150-(12*(INT((AG150+11)/12)-1)))</f>
        <v>4370.76</v>
      </c>
      <c r="AK150" s="129">
        <f t="array" ref="AK150">INDEX($P$3:$P$24,MATCH(AM150&amp;YEAR(AI150),$A$3:$A$24&amp;YEAR($B$3:$B$24),0))</f>
        <v>112500</v>
      </c>
      <c r="AL150" s="129" t="s">
        <v>1476</v>
      </c>
      <c r="AM150" s="129" t="str">
        <f>INDEX($A$3:$A$24,INT((AG150+11)/12))</f>
        <v>Interest Income -Operating (361-20)</v>
      </c>
    </row>
    <row r="151" spans="33:39" x14ac:dyDescent="0.25">
      <c r="AG151" s="129">
        <v>150</v>
      </c>
      <c r="AH151" s="129" t="s">
        <v>1474</v>
      </c>
      <c r="AI151" s="131">
        <f>DATE(YEAR(INDEX($B$2:$N$24,INT((AG151+11)/12)+1,1)),IF(MOD(AG151,12)&lt;&gt;0,MOD(AG151,12),12),1)</f>
        <v>41061</v>
      </c>
      <c r="AJ151" s="129">
        <f>INDEX($C$3:$N$24,INT((AG151+11)/12),AG151-(12*(INT((AG151+11)/12)-1)))</f>
        <v>3646.47</v>
      </c>
      <c r="AK151" s="129">
        <f t="array" ref="AK151">INDEX($P$3:$P$24,MATCH(AM151&amp;YEAR(AI151),$A$3:$A$24&amp;YEAR($B$3:$B$24),0))</f>
        <v>112500</v>
      </c>
      <c r="AL151" s="129" t="s">
        <v>1476</v>
      </c>
      <c r="AM151" s="129" t="str">
        <f>INDEX($A$3:$A$24,INT((AG151+11)/12))</f>
        <v>Interest Income -Operating (361-20)</v>
      </c>
    </row>
    <row r="152" spans="33:39" x14ac:dyDescent="0.25">
      <c r="AG152" s="129">
        <v>151</v>
      </c>
      <c r="AH152" s="129" t="s">
        <v>1474</v>
      </c>
      <c r="AI152" s="131">
        <f>DATE(YEAR(INDEX($B$2:$N$24,INT((AG152+11)/12)+1,1)),IF(MOD(AG152,12)&lt;&gt;0,MOD(AG152,12),12),1)</f>
        <v>41091</v>
      </c>
      <c r="AJ152" s="129">
        <f>INDEX($C$3:$N$24,INT((AG152+11)/12),AG152-(12*(INT((AG152+11)/12)-1)))</f>
        <v>3734.41</v>
      </c>
      <c r="AK152" s="129">
        <f t="array" ref="AK152">INDEX($P$3:$P$24,MATCH(AM152&amp;YEAR(AI152),$A$3:$A$24&amp;YEAR($B$3:$B$24),0))</f>
        <v>112500</v>
      </c>
      <c r="AL152" s="129" t="s">
        <v>1476</v>
      </c>
      <c r="AM152" s="129" t="str">
        <f>INDEX($A$3:$A$24,INT((AG152+11)/12))</f>
        <v>Interest Income -Operating (361-20)</v>
      </c>
    </row>
    <row r="153" spans="33:39" x14ac:dyDescent="0.25">
      <c r="AG153" s="129">
        <v>152</v>
      </c>
      <c r="AH153" s="129" t="s">
        <v>1474</v>
      </c>
      <c r="AI153" s="131">
        <f>DATE(YEAR(INDEX($B$2:$N$24,INT((AG153+11)/12)+1,1)),IF(MOD(AG153,12)&lt;&gt;0,MOD(AG153,12),12),1)</f>
        <v>41122</v>
      </c>
      <c r="AJ153" s="129">
        <f>INDEX($C$3:$N$24,INT((AG153+11)/12),AG153-(12*(INT((AG153+11)/12)-1)))</f>
        <v>3645.49</v>
      </c>
      <c r="AK153" s="129">
        <f t="array" ref="AK153">INDEX($P$3:$P$24,MATCH(AM153&amp;YEAR(AI153),$A$3:$A$24&amp;YEAR($B$3:$B$24),0))</f>
        <v>112500</v>
      </c>
      <c r="AL153" s="129" t="s">
        <v>1476</v>
      </c>
      <c r="AM153" s="129" t="str">
        <f>INDEX($A$3:$A$24,INT((AG153+11)/12))</f>
        <v>Interest Income -Operating (361-20)</v>
      </c>
    </row>
    <row r="154" spans="33:39" x14ac:dyDescent="0.25">
      <c r="AG154" s="129">
        <v>153</v>
      </c>
      <c r="AH154" s="129" t="s">
        <v>1474</v>
      </c>
      <c r="AI154" s="131">
        <f>DATE(YEAR(INDEX($B$2:$N$24,INT((AG154+11)/12)+1,1)),IF(MOD(AG154,12)&lt;&gt;0,MOD(AG154,12),12),1)</f>
        <v>41153</v>
      </c>
      <c r="AJ154" s="129">
        <f>INDEX($C$3:$N$24,INT((AG154+11)/12),AG154-(12*(INT((AG154+11)/12)-1)))</f>
        <v>3347.7</v>
      </c>
      <c r="AK154" s="129">
        <f t="array" ref="AK154">INDEX($P$3:$P$24,MATCH(AM154&amp;YEAR(AI154),$A$3:$A$24&amp;YEAR($B$3:$B$24),0))</f>
        <v>112500</v>
      </c>
      <c r="AL154" s="129" t="s">
        <v>1476</v>
      </c>
      <c r="AM154" s="129" t="str">
        <f>INDEX($A$3:$A$24,INT((AG154+11)/12))</f>
        <v>Interest Income -Operating (361-20)</v>
      </c>
    </row>
    <row r="155" spans="33:39" x14ac:dyDescent="0.25">
      <c r="AG155" s="129">
        <v>154</v>
      </c>
      <c r="AH155" s="129" t="s">
        <v>1474</v>
      </c>
      <c r="AI155" s="131">
        <f>DATE(YEAR(INDEX($B$2:$N$24,INT((AG155+11)/12)+1,1)),IF(MOD(AG155,12)&lt;&gt;0,MOD(AG155,12),12),1)</f>
        <v>41183</v>
      </c>
      <c r="AJ155" s="129">
        <f>INDEX($C$3:$N$24,INT((AG155+11)/12),AG155-(12*(INT((AG155+11)/12)-1)))</f>
        <v>3148.14</v>
      </c>
      <c r="AK155" s="129">
        <f t="array" ref="AK155">INDEX($P$3:$P$24,MATCH(AM155&amp;YEAR(AI155),$A$3:$A$24&amp;YEAR($B$3:$B$24),0))</f>
        <v>112500</v>
      </c>
      <c r="AL155" s="129" t="s">
        <v>1476</v>
      </c>
      <c r="AM155" s="129" t="str">
        <f>INDEX($A$3:$A$24,INT((AG155+11)/12))</f>
        <v>Interest Income -Operating (361-20)</v>
      </c>
    </row>
    <row r="156" spans="33:39" x14ac:dyDescent="0.25">
      <c r="AG156" s="129">
        <v>155</v>
      </c>
      <c r="AH156" s="129" t="s">
        <v>1474</v>
      </c>
      <c r="AI156" s="131">
        <f>DATE(YEAR(INDEX($B$2:$N$24,INT((AG156+11)/12)+1,1)),IF(MOD(AG156,12)&lt;&gt;0,MOD(AG156,12),12),1)</f>
        <v>41214</v>
      </c>
      <c r="AJ156" s="129">
        <f>INDEX($C$3:$N$24,INT((AG156+11)/12),AG156-(12*(INT((AG156+11)/12)-1)))</f>
        <v>2886.8</v>
      </c>
      <c r="AK156" s="129">
        <f t="array" ref="AK156">INDEX($P$3:$P$24,MATCH(AM156&amp;YEAR(AI156),$A$3:$A$24&amp;YEAR($B$3:$B$24),0))</f>
        <v>112500</v>
      </c>
      <c r="AL156" s="129" t="s">
        <v>1476</v>
      </c>
      <c r="AM156" s="129" t="str">
        <f>INDEX($A$3:$A$24,INT((AG156+11)/12))</f>
        <v>Interest Income -Operating (361-20)</v>
      </c>
    </row>
    <row r="157" spans="33:39" x14ac:dyDescent="0.25">
      <c r="AG157" s="129">
        <v>156</v>
      </c>
      <c r="AH157" s="129" t="s">
        <v>1474</v>
      </c>
      <c r="AI157" s="131">
        <f>DATE(YEAR(INDEX($B$2:$N$24,INT((AG157+11)/12)+1,1)),IF(MOD(AG157,12)&lt;&gt;0,MOD(AG157,12),12),1)</f>
        <v>41244</v>
      </c>
      <c r="AJ157" s="129">
        <f>INDEX($C$3:$N$24,INT((AG157+11)/12),AG157-(12*(INT((AG157+11)/12)-1)))</f>
        <v>4183.1100000000006</v>
      </c>
      <c r="AK157" s="129">
        <f t="array" ref="AK157">INDEX($P$3:$P$24,MATCH(AM157&amp;YEAR(AI157),$A$3:$A$24&amp;YEAR($B$3:$B$24),0))</f>
        <v>112500</v>
      </c>
      <c r="AL157" s="129" t="s">
        <v>1476</v>
      </c>
      <c r="AM157" s="129" t="str">
        <f>INDEX($A$3:$A$24,INT((AG157+11)/12))</f>
        <v>Interest Income -Operating (361-20)</v>
      </c>
    </row>
    <row r="158" spans="33:39" x14ac:dyDescent="0.25">
      <c r="AG158" s="129">
        <v>157</v>
      </c>
      <c r="AH158" s="129" t="s">
        <v>1474</v>
      </c>
      <c r="AI158" s="131">
        <f>DATE(YEAR(INDEX($B$2:$N$24,INT((AG158+11)/12)+1,1)),IF(MOD(AG158,12)&lt;&gt;0,MOD(AG158,12),12),1)</f>
        <v>41275</v>
      </c>
      <c r="AJ158" s="129">
        <f>INDEX($C$3:$N$24,INT((AG158+11)/12),AG158-(12*(INT((AG158+11)/12)-1)))</f>
        <v>0</v>
      </c>
      <c r="AK158" s="129">
        <f t="array" ref="AK158">INDEX($P$3:$P$24,MATCH(AM158&amp;YEAR(AI158),$A$3:$A$24&amp;YEAR($B$3:$B$24),0))</f>
        <v>116800</v>
      </c>
      <c r="AL158" s="129" t="s">
        <v>1476</v>
      </c>
      <c r="AM158" s="129" t="str">
        <f>INDEX($A$3:$A$24,INT((AG158+11)/12))</f>
        <v>Interest Income -Operating (361-20)</v>
      </c>
    </row>
    <row r="159" spans="33:39" x14ac:dyDescent="0.25">
      <c r="AG159" s="129">
        <v>158</v>
      </c>
      <c r="AH159" s="129" t="s">
        <v>1474</v>
      </c>
      <c r="AI159" s="131">
        <f>DATE(YEAR(INDEX($B$2:$N$24,INT((AG159+11)/12)+1,1)),IF(MOD(AG159,12)&lt;&gt;0,MOD(AG159,12),12),1)</f>
        <v>41306</v>
      </c>
      <c r="AJ159" s="129">
        <f>INDEX($C$3:$N$24,INT((AG159+11)/12),AG159-(12*(INT((AG159+11)/12)-1)))</f>
        <v>1446.79</v>
      </c>
      <c r="AK159" s="129">
        <f t="array" ref="AK159">INDEX($P$3:$P$24,MATCH(AM159&amp;YEAR(AI159),$A$3:$A$24&amp;YEAR($B$3:$B$24),0))</f>
        <v>116800</v>
      </c>
      <c r="AL159" s="129" t="s">
        <v>1476</v>
      </c>
      <c r="AM159" s="129" t="str">
        <f>INDEX($A$3:$A$24,INT((AG159+11)/12))</f>
        <v>Interest Income -Operating (361-20)</v>
      </c>
    </row>
    <row r="160" spans="33:39" x14ac:dyDescent="0.25">
      <c r="AG160" s="129">
        <v>159</v>
      </c>
      <c r="AH160" s="129" t="s">
        <v>1474</v>
      </c>
      <c r="AI160" s="131">
        <f>DATE(YEAR(INDEX($B$2:$N$24,INT((AG160+11)/12)+1,1)),IF(MOD(AG160,12)&lt;&gt;0,MOD(AG160,12),12),1)</f>
        <v>41334</v>
      </c>
      <c r="AJ160" s="129">
        <f>INDEX($C$3:$N$24,INT((AG160+11)/12),AG160-(12*(INT((AG160+11)/12)-1)))</f>
        <v>1079.8400000000001</v>
      </c>
      <c r="AK160" s="129">
        <f t="array" ref="AK160">INDEX($P$3:$P$24,MATCH(AM160&amp;YEAR(AI160),$A$3:$A$24&amp;YEAR($B$3:$B$24),0))</f>
        <v>116800</v>
      </c>
      <c r="AL160" s="129" t="s">
        <v>1476</v>
      </c>
      <c r="AM160" s="129" t="str">
        <f>INDEX($A$3:$A$24,INT((AG160+11)/12))</f>
        <v>Interest Income -Operating (361-20)</v>
      </c>
    </row>
    <row r="161" spans="33:39" x14ac:dyDescent="0.25">
      <c r="AG161" s="129">
        <v>160</v>
      </c>
      <c r="AH161" s="129" t="s">
        <v>1474</v>
      </c>
      <c r="AI161" s="131">
        <f>DATE(YEAR(INDEX($B$2:$N$24,INT((AG161+11)/12)+1,1)),IF(MOD(AG161,12)&lt;&gt;0,MOD(AG161,12),12),1)</f>
        <v>41365</v>
      </c>
      <c r="AJ161" s="129">
        <f>INDEX($C$3:$N$24,INT((AG161+11)/12),AG161-(12*(INT((AG161+11)/12)-1)))</f>
        <v>1082.5700000000002</v>
      </c>
      <c r="AK161" s="129">
        <f t="array" ref="AK161">INDEX($P$3:$P$24,MATCH(AM161&amp;YEAR(AI161),$A$3:$A$24&amp;YEAR($B$3:$B$24),0))</f>
        <v>116800</v>
      </c>
      <c r="AL161" s="129" t="s">
        <v>1476</v>
      </c>
      <c r="AM161" s="129" t="str">
        <f>INDEX($A$3:$A$24,INT((AG161+11)/12))</f>
        <v>Interest Income -Operating (361-20)</v>
      </c>
    </row>
    <row r="162" spans="33:39" x14ac:dyDescent="0.25">
      <c r="AG162" s="129">
        <v>161</v>
      </c>
      <c r="AH162" s="129" t="s">
        <v>1474</v>
      </c>
      <c r="AI162" s="131">
        <f>DATE(YEAR(INDEX($B$2:$N$24,INT((AG162+11)/12)+1,1)),IF(MOD(AG162,12)&lt;&gt;0,MOD(AG162,12),12),1)</f>
        <v>41395</v>
      </c>
      <c r="AJ162" s="129">
        <f>INDEX($C$3:$N$24,INT((AG162+11)/12),AG162-(12*(INT((AG162+11)/12)-1)))</f>
        <v>1062.55</v>
      </c>
      <c r="AK162" s="129">
        <f t="array" ref="AK162">INDEX($P$3:$P$24,MATCH(AM162&amp;YEAR(AI162),$A$3:$A$24&amp;YEAR($B$3:$B$24),0))</f>
        <v>116800</v>
      </c>
      <c r="AL162" s="129" t="s">
        <v>1476</v>
      </c>
      <c r="AM162" s="129" t="str">
        <f>INDEX($A$3:$A$24,INT((AG162+11)/12))</f>
        <v>Interest Income -Operating (361-20)</v>
      </c>
    </row>
    <row r="163" spans="33:39" x14ac:dyDescent="0.25">
      <c r="AG163" s="129">
        <v>162</v>
      </c>
      <c r="AH163" s="129" t="s">
        <v>1474</v>
      </c>
      <c r="AI163" s="131">
        <f>DATE(YEAR(INDEX($B$2:$N$24,INT((AG163+11)/12)+1,1)),IF(MOD(AG163,12)&lt;&gt;0,MOD(AG163,12),12),1)</f>
        <v>41426</v>
      </c>
      <c r="AJ163" s="129">
        <f>INDEX($C$3:$N$24,INT((AG163+11)/12),AG163-(12*(INT((AG163+11)/12)-1)))</f>
        <v>0</v>
      </c>
      <c r="AK163" s="129">
        <f t="array" ref="AK163">INDEX($P$3:$P$24,MATCH(AM163&amp;YEAR(AI163),$A$3:$A$24&amp;YEAR($B$3:$B$24),0))</f>
        <v>116800</v>
      </c>
      <c r="AL163" s="129" t="s">
        <v>1476</v>
      </c>
      <c r="AM163" s="129" t="str">
        <f>INDEX($A$3:$A$24,INT((AG163+11)/12))</f>
        <v>Interest Income -Operating (361-20)</v>
      </c>
    </row>
    <row r="164" spans="33:39" x14ac:dyDescent="0.25">
      <c r="AG164" s="129">
        <v>163</v>
      </c>
      <c r="AH164" s="129" t="s">
        <v>1474</v>
      </c>
      <c r="AI164" s="131">
        <f>DATE(YEAR(INDEX($B$2:$N$24,INT((AG164+11)/12)+1,1)),IF(MOD(AG164,12)&lt;&gt;0,MOD(AG164,12),12),1)</f>
        <v>41456</v>
      </c>
      <c r="AJ164" s="129">
        <f>INDEX($C$3:$N$24,INT((AG164+11)/12),AG164-(12*(INT((AG164+11)/12)-1)))</f>
        <v>0</v>
      </c>
      <c r="AK164" s="129">
        <f t="array" ref="AK164">INDEX($P$3:$P$24,MATCH(AM164&amp;YEAR(AI164),$A$3:$A$24&amp;YEAR($B$3:$B$24),0))</f>
        <v>116800</v>
      </c>
      <c r="AL164" s="129" t="s">
        <v>1476</v>
      </c>
      <c r="AM164" s="129" t="str">
        <f>INDEX($A$3:$A$24,INT((AG164+11)/12))</f>
        <v>Interest Income -Operating (361-20)</v>
      </c>
    </row>
    <row r="165" spans="33:39" x14ac:dyDescent="0.25">
      <c r="AG165" s="129">
        <v>164</v>
      </c>
      <c r="AH165" s="129" t="s">
        <v>1474</v>
      </c>
      <c r="AI165" s="131">
        <f>DATE(YEAR(INDEX($B$2:$N$24,INT((AG165+11)/12)+1,1)),IF(MOD(AG165,12)&lt;&gt;0,MOD(AG165,12),12),1)</f>
        <v>41487</v>
      </c>
      <c r="AJ165" s="129">
        <f>INDEX($C$3:$N$24,INT((AG165+11)/12),AG165-(12*(INT((AG165+11)/12)-1)))</f>
        <v>0</v>
      </c>
      <c r="AK165" s="129">
        <f t="array" ref="AK165">INDEX($P$3:$P$24,MATCH(AM165&amp;YEAR(AI165),$A$3:$A$24&amp;YEAR($B$3:$B$24),0))</f>
        <v>116800</v>
      </c>
      <c r="AL165" s="129" t="s">
        <v>1476</v>
      </c>
      <c r="AM165" s="129" t="str">
        <f>INDEX($A$3:$A$24,INT((AG165+11)/12))</f>
        <v>Interest Income -Operating (361-20)</v>
      </c>
    </row>
    <row r="166" spans="33:39" x14ac:dyDescent="0.25">
      <c r="AG166" s="129">
        <v>165</v>
      </c>
      <c r="AH166" s="129" t="s">
        <v>1474</v>
      </c>
      <c r="AI166" s="131">
        <f>DATE(YEAR(INDEX($B$2:$N$24,INT((AG166+11)/12)+1,1)),IF(MOD(AG166,12)&lt;&gt;0,MOD(AG166,12),12),1)</f>
        <v>41518</v>
      </c>
      <c r="AJ166" s="129">
        <f>INDEX($C$3:$N$24,INT((AG166+11)/12),AG166-(12*(INT((AG166+11)/12)-1)))</f>
        <v>0</v>
      </c>
      <c r="AK166" s="129">
        <f t="array" ref="AK166">INDEX($P$3:$P$24,MATCH(AM166&amp;YEAR(AI166),$A$3:$A$24&amp;YEAR($B$3:$B$24),0))</f>
        <v>116800</v>
      </c>
      <c r="AL166" s="129" t="s">
        <v>1476</v>
      </c>
      <c r="AM166" s="129" t="str">
        <f>INDEX($A$3:$A$24,INT((AG166+11)/12))</f>
        <v>Interest Income -Operating (361-20)</v>
      </c>
    </row>
    <row r="167" spans="33:39" x14ac:dyDescent="0.25">
      <c r="AG167" s="129">
        <v>166</v>
      </c>
      <c r="AH167" s="129" t="s">
        <v>1474</v>
      </c>
      <c r="AI167" s="131">
        <f>DATE(YEAR(INDEX($B$2:$N$24,INT((AG167+11)/12)+1,1)),IF(MOD(AG167,12)&lt;&gt;0,MOD(AG167,12),12),1)</f>
        <v>41548</v>
      </c>
      <c r="AJ167" s="129">
        <f>INDEX($C$3:$N$24,INT((AG167+11)/12),AG167-(12*(INT((AG167+11)/12)-1)))</f>
        <v>0</v>
      </c>
      <c r="AK167" s="129">
        <f t="array" ref="AK167">INDEX($P$3:$P$24,MATCH(AM167&amp;YEAR(AI167),$A$3:$A$24&amp;YEAR($B$3:$B$24),0))</f>
        <v>116800</v>
      </c>
      <c r="AL167" s="129" t="s">
        <v>1476</v>
      </c>
      <c r="AM167" s="129" t="str">
        <f>INDEX($A$3:$A$24,INT((AG167+11)/12))</f>
        <v>Interest Income -Operating (361-20)</v>
      </c>
    </row>
    <row r="168" spans="33:39" x14ac:dyDescent="0.25">
      <c r="AG168" s="129">
        <v>167</v>
      </c>
      <c r="AH168" s="129" t="s">
        <v>1474</v>
      </c>
      <c r="AI168" s="131">
        <f>DATE(YEAR(INDEX($B$2:$N$24,INT((AG168+11)/12)+1,1)),IF(MOD(AG168,12)&lt;&gt;0,MOD(AG168,12),12),1)</f>
        <v>41579</v>
      </c>
      <c r="AJ168" s="129">
        <f>INDEX($C$3:$N$24,INT((AG168+11)/12),AG168-(12*(INT((AG168+11)/12)-1)))</f>
        <v>0</v>
      </c>
      <c r="AK168" s="129">
        <f t="array" ref="AK168">INDEX($P$3:$P$24,MATCH(AM168&amp;YEAR(AI168),$A$3:$A$24&amp;YEAR($B$3:$B$24),0))</f>
        <v>116800</v>
      </c>
      <c r="AL168" s="129" t="s">
        <v>1476</v>
      </c>
      <c r="AM168" s="129" t="str">
        <f>INDEX($A$3:$A$24,INT((AG168+11)/12))</f>
        <v>Interest Income -Operating (361-20)</v>
      </c>
    </row>
    <row r="169" spans="33:39" x14ac:dyDescent="0.25">
      <c r="AG169" s="129">
        <v>168</v>
      </c>
      <c r="AH169" s="129" t="s">
        <v>1474</v>
      </c>
      <c r="AI169" s="131">
        <f>DATE(YEAR(INDEX($B$2:$N$24,INT((AG169+11)/12)+1,1)),IF(MOD(AG169,12)&lt;&gt;0,MOD(AG169,12),12),1)</f>
        <v>41609</v>
      </c>
      <c r="AJ169" s="129">
        <f>INDEX($C$3:$N$24,INT((AG169+11)/12),AG169-(12*(INT((AG169+11)/12)-1)))</f>
        <v>0</v>
      </c>
      <c r="AK169" s="129">
        <f t="array" ref="AK169">INDEX($P$3:$P$24,MATCH(AM169&amp;YEAR(AI169),$A$3:$A$24&amp;YEAR($B$3:$B$24),0))</f>
        <v>116800</v>
      </c>
      <c r="AL169" s="129" t="s">
        <v>1476</v>
      </c>
      <c r="AM169" s="129" t="str">
        <f>INDEX($A$3:$A$24,INT((AG169+11)/12))</f>
        <v>Interest Income -Operating (361-20)</v>
      </c>
    </row>
    <row r="170" spans="33:39" x14ac:dyDescent="0.25">
      <c r="AG170" s="129">
        <v>169</v>
      </c>
      <c r="AH170" s="129" t="s">
        <v>1474</v>
      </c>
      <c r="AI170" s="131">
        <f>DATE(YEAR(INDEX($B$2:$N$24,INT((AG170+11)/12)+1,1)),IF(MOD(AG170,12)&lt;&gt;0,MOD(AG170,12),12),1)</f>
        <v>40909</v>
      </c>
      <c r="AJ170" s="129">
        <f>INDEX($C$3:$N$24,INT((AG170+11)/12),AG170-(12*(INT((AG170+11)/12)-1)))</f>
        <v>0</v>
      </c>
      <c r="AK170" s="129">
        <f t="array" ref="AK170">INDEX($P$3:$P$24,MATCH(AM170&amp;YEAR(AI170),$A$3:$A$24&amp;YEAR($B$3:$B$24),0))</f>
        <v>0</v>
      </c>
      <c r="AL170" s="129" t="s">
        <v>1476</v>
      </c>
      <c r="AM170" s="129" t="str">
        <f>INDEX($A$3:$A$24,INT((AG170+11)/12))</f>
        <v>Interest Income - 2010A Bonds (361-31)</v>
      </c>
    </row>
    <row r="171" spans="33:39" x14ac:dyDescent="0.25">
      <c r="AG171" s="129">
        <v>170</v>
      </c>
      <c r="AH171" s="129" t="s">
        <v>1474</v>
      </c>
      <c r="AI171" s="131">
        <f>DATE(YEAR(INDEX($B$2:$N$24,INT((AG171+11)/12)+1,1)),IF(MOD(AG171,12)&lt;&gt;0,MOD(AG171,12),12),1)</f>
        <v>40940</v>
      </c>
      <c r="AJ171" s="129">
        <f>INDEX($C$3:$N$24,INT((AG171+11)/12),AG171-(12*(INT((AG171+11)/12)-1)))</f>
        <v>0</v>
      </c>
      <c r="AK171" s="129">
        <f t="array" ref="AK171">INDEX($P$3:$P$24,MATCH(AM171&amp;YEAR(AI171),$A$3:$A$24&amp;YEAR($B$3:$B$24),0))</f>
        <v>0</v>
      </c>
      <c r="AL171" s="129" t="s">
        <v>1476</v>
      </c>
      <c r="AM171" s="129" t="str">
        <f>INDEX($A$3:$A$24,INT((AG171+11)/12))</f>
        <v>Interest Income - 2010A Bonds (361-31)</v>
      </c>
    </row>
    <row r="172" spans="33:39" x14ac:dyDescent="0.25">
      <c r="AG172" s="129">
        <v>171</v>
      </c>
      <c r="AH172" s="129" t="s">
        <v>1474</v>
      </c>
      <c r="AI172" s="131">
        <f>DATE(YEAR(INDEX($B$2:$N$24,INT((AG172+11)/12)+1,1)),IF(MOD(AG172,12)&lt;&gt;0,MOD(AG172,12),12),1)</f>
        <v>40969</v>
      </c>
      <c r="AJ172" s="129">
        <f>INDEX($C$3:$N$24,INT((AG172+11)/12),AG172-(12*(INT((AG172+11)/12)-1)))</f>
        <v>0</v>
      </c>
      <c r="AK172" s="129">
        <f t="array" ref="AK172">INDEX($P$3:$P$24,MATCH(AM172&amp;YEAR(AI172),$A$3:$A$24&amp;YEAR($B$3:$B$24),0))</f>
        <v>0</v>
      </c>
      <c r="AL172" s="129" t="s">
        <v>1476</v>
      </c>
      <c r="AM172" s="129" t="str">
        <f>INDEX($A$3:$A$24,INT((AG172+11)/12))</f>
        <v>Interest Income - 2010A Bonds (361-31)</v>
      </c>
    </row>
    <row r="173" spans="33:39" x14ac:dyDescent="0.25">
      <c r="AG173" s="129">
        <v>172</v>
      </c>
      <c r="AH173" s="129" t="s">
        <v>1474</v>
      </c>
      <c r="AI173" s="131">
        <f>DATE(YEAR(INDEX($B$2:$N$24,INT((AG173+11)/12)+1,1)),IF(MOD(AG173,12)&lt;&gt;0,MOD(AG173,12),12),1)</f>
        <v>41000</v>
      </c>
      <c r="AJ173" s="129">
        <f>INDEX($C$3:$N$24,INT((AG173+11)/12),AG173-(12*(INT((AG173+11)/12)-1)))</f>
        <v>0</v>
      </c>
      <c r="AK173" s="129">
        <f t="array" ref="AK173">INDEX($P$3:$P$24,MATCH(AM173&amp;YEAR(AI173),$A$3:$A$24&amp;YEAR($B$3:$B$24),0))</f>
        <v>0</v>
      </c>
      <c r="AL173" s="129" t="s">
        <v>1476</v>
      </c>
      <c r="AM173" s="129" t="str">
        <f>INDEX($A$3:$A$24,INT((AG173+11)/12))</f>
        <v>Interest Income - 2010A Bonds (361-31)</v>
      </c>
    </row>
    <row r="174" spans="33:39" x14ac:dyDescent="0.25">
      <c r="AG174" s="129">
        <v>173</v>
      </c>
      <c r="AH174" s="129" t="s">
        <v>1474</v>
      </c>
      <c r="AI174" s="131">
        <f>DATE(YEAR(INDEX($B$2:$N$24,INT((AG174+11)/12)+1,1)),IF(MOD(AG174,12)&lt;&gt;0,MOD(AG174,12),12),1)</f>
        <v>41030</v>
      </c>
      <c r="AJ174" s="129">
        <f>INDEX($C$3:$N$24,INT((AG174+11)/12),AG174-(12*(INT((AG174+11)/12)-1)))</f>
        <v>0</v>
      </c>
      <c r="AK174" s="129">
        <f t="array" ref="AK174">INDEX($P$3:$P$24,MATCH(AM174&amp;YEAR(AI174),$A$3:$A$24&amp;YEAR($B$3:$B$24),0))</f>
        <v>0</v>
      </c>
      <c r="AL174" s="129" t="s">
        <v>1476</v>
      </c>
      <c r="AM174" s="129" t="str">
        <f>INDEX($A$3:$A$24,INT((AG174+11)/12))</f>
        <v>Interest Income - 2010A Bonds (361-31)</v>
      </c>
    </row>
    <row r="175" spans="33:39" x14ac:dyDescent="0.25">
      <c r="AG175" s="129">
        <v>174</v>
      </c>
      <c r="AH175" s="129" t="s">
        <v>1474</v>
      </c>
      <c r="AI175" s="131">
        <f>DATE(YEAR(INDEX($B$2:$N$24,INT((AG175+11)/12)+1,1)),IF(MOD(AG175,12)&lt;&gt;0,MOD(AG175,12),12),1)</f>
        <v>41061</v>
      </c>
      <c r="AJ175" s="129">
        <f>INDEX($C$3:$N$24,INT((AG175+11)/12),AG175-(12*(INT((AG175+11)/12)-1)))</f>
        <v>0</v>
      </c>
      <c r="AK175" s="129">
        <f t="array" ref="AK175">INDEX($P$3:$P$24,MATCH(AM175&amp;YEAR(AI175),$A$3:$A$24&amp;YEAR($B$3:$B$24),0))</f>
        <v>0</v>
      </c>
      <c r="AL175" s="129" t="s">
        <v>1476</v>
      </c>
      <c r="AM175" s="129" t="str">
        <f>INDEX($A$3:$A$24,INT((AG175+11)/12))</f>
        <v>Interest Income - 2010A Bonds (361-31)</v>
      </c>
    </row>
    <row r="176" spans="33:39" x14ac:dyDescent="0.25">
      <c r="AG176" s="129">
        <v>175</v>
      </c>
      <c r="AH176" s="129" t="s">
        <v>1474</v>
      </c>
      <c r="AI176" s="131">
        <f>DATE(YEAR(INDEX($B$2:$N$24,INT((AG176+11)/12)+1,1)),IF(MOD(AG176,12)&lt;&gt;0,MOD(AG176,12),12),1)</f>
        <v>41091</v>
      </c>
      <c r="AJ176" s="129">
        <f>INDEX($C$3:$N$24,INT((AG176+11)/12),AG176-(12*(INT((AG176+11)/12)-1)))</f>
        <v>0</v>
      </c>
      <c r="AK176" s="129">
        <f t="array" ref="AK176">INDEX($P$3:$P$24,MATCH(AM176&amp;YEAR(AI176),$A$3:$A$24&amp;YEAR($B$3:$B$24),0))</f>
        <v>0</v>
      </c>
      <c r="AL176" s="129" t="s">
        <v>1476</v>
      </c>
      <c r="AM176" s="129" t="str">
        <f>INDEX($A$3:$A$24,INT((AG176+11)/12))</f>
        <v>Interest Income - 2010A Bonds (361-31)</v>
      </c>
    </row>
    <row r="177" spans="33:39" x14ac:dyDescent="0.25">
      <c r="AG177" s="129">
        <v>176</v>
      </c>
      <c r="AH177" s="129" t="s">
        <v>1474</v>
      </c>
      <c r="AI177" s="131">
        <f>DATE(YEAR(INDEX($B$2:$N$24,INT((AG177+11)/12)+1,1)),IF(MOD(AG177,12)&lt;&gt;0,MOD(AG177,12),12),1)</f>
        <v>41122</v>
      </c>
      <c r="AJ177" s="129">
        <f>INDEX($C$3:$N$24,INT((AG177+11)/12),AG177-(12*(INT((AG177+11)/12)-1)))</f>
        <v>0</v>
      </c>
      <c r="AK177" s="129">
        <f t="array" ref="AK177">INDEX($P$3:$P$24,MATCH(AM177&amp;YEAR(AI177),$A$3:$A$24&amp;YEAR($B$3:$B$24),0))</f>
        <v>0</v>
      </c>
      <c r="AL177" s="129" t="s">
        <v>1476</v>
      </c>
      <c r="AM177" s="129" t="str">
        <f>INDEX($A$3:$A$24,INT((AG177+11)/12))</f>
        <v>Interest Income - 2010A Bonds (361-31)</v>
      </c>
    </row>
    <row r="178" spans="33:39" x14ac:dyDescent="0.25">
      <c r="AG178" s="129">
        <v>177</v>
      </c>
      <c r="AH178" s="129" t="s">
        <v>1474</v>
      </c>
      <c r="AI178" s="131">
        <f>DATE(YEAR(INDEX($B$2:$N$24,INT((AG178+11)/12)+1,1)),IF(MOD(AG178,12)&lt;&gt;0,MOD(AG178,12),12),1)</f>
        <v>41153</v>
      </c>
      <c r="AJ178" s="129">
        <f>INDEX($C$3:$N$24,INT((AG178+11)/12),AG178-(12*(INT((AG178+11)/12)-1)))</f>
        <v>0</v>
      </c>
      <c r="AK178" s="129">
        <f t="array" ref="AK178">INDEX($P$3:$P$24,MATCH(AM178&amp;YEAR(AI178),$A$3:$A$24&amp;YEAR($B$3:$B$24),0))</f>
        <v>0</v>
      </c>
      <c r="AL178" s="129" t="s">
        <v>1476</v>
      </c>
      <c r="AM178" s="129" t="str">
        <f>INDEX($A$3:$A$24,INT((AG178+11)/12))</f>
        <v>Interest Income - 2010A Bonds (361-31)</v>
      </c>
    </row>
    <row r="179" spans="33:39" x14ac:dyDescent="0.25">
      <c r="AG179" s="129">
        <v>178</v>
      </c>
      <c r="AH179" s="129" t="s">
        <v>1474</v>
      </c>
      <c r="AI179" s="131">
        <f>DATE(YEAR(INDEX($B$2:$N$24,INT((AG179+11)/12)+1,1)),IF(MOD(AG179,12)&lt;&gt;0,MOD(AG179,12),12),1)</f>
        <v>41183</v>
      </c>
      <c r="AJ179" s="129">
        <f>INDEX($C$3:$N$24,INT((AG179+11)/12),AG179-(12*(INT((AG179+11)/12)-1)))</f>
        <v>0</v>
      </c>
      <c r="AK179" s="129">
        <f t="array" ref="AK179">INDEX($P$3:$P$24,MATCH(AM179&amp;YEAR(AI179),$A$3:$A$24&amp;YEAR($B$3:$B$24),0))</f>
        <v>0</v>
      </c>
      <c r="AL179" s="129" t="s">
        <v>1476</v>
      </c>
      <c r="AM179" s="129" t="str">
        <f>INDEX($A$3:$A$24,INT((AG179+11)/12))</f>
        <v>Interest Income - 2010A Bonds (361-31)</v>
      </c>
    </row>
    <row r="180" spans="33:39" x14ac:dyDescent="0.25">
      <c r="AG180" s="129">
        <v>179</v>
      </c>
      <c r="AH180" s="129" t="s">
        <v>1474</v>
      </c>
      <c r="AI180" s="131">
        <f>DATE(YEAR(INDEX($B$2:$N$24,INT((AG180+11)/12)+1,1)),IF(MOD(AG180,12)&lt;&gt;0,MOD(AG180,12),12),1)</f>
        <v>41214</v>
      </c>
      <c r="AJ180" s="129">
        <f>INDEX($C$3:$N$24,INT((AG180+11)/12),AG180-(12*(INT((AG180+11)/12)-1)))</f>
        <v>3756.4</v>
      </c>
      <c r="AK180" s="129">
        <f t="array" ref="AK180">INDEX($P$3:$P$24,MATCH(AM180&amp;YEAR(AI180),$A$3:$A$24&amp;YEAR($B$3:$B$24),0))</f>
        <v>0</v>
      </c>
      <c r="AL180" s="129" t="s">
        <v>1476</v>
      </c>
      <c r="AM180" s="129" t="str">
        <f>INDEX($A$3:$A$24,INT((AG180+11)/12))</f>
        <v>Interest Income - 2010A Bonds (361-31)</v>
      </c>
    </row>
    <row r="181" spans="33:39" x14ac:dyDescent="0.25">
      <c r="AG181" s="129">
        <v>180</v>
      </c>
      <c r="AH181" s="129" t="s">
        <v>1474</v>
      </c>
      <c r="AI181" s="131">
        <f>DATE(YEAR(INDEX($B$2:$N$24,INT((AG181+11)/12)+1,1)),IF(MOD(AG181,12)&lt;&gt;0,MOD(AG181,12),12),1)</f>
        <v>41244</v>
      </c>
      <c r="AJ181" s="129">
        <f>INDEX($C$3:$N$24,INT((AG181+11)/12),AG181-(12*(INT((AG181+11)/12)-1)))</f>
        <v>6274.4</v>
      </c>
      <c r="AK181" s="129">
        <f t="array" ref="AK181">INDEX($P$3:$P$24,MATCH(AM181&amp;YEAR(AI181),$A$3:$A$24&amp;YEAR($B$3:$B$24),0))</f>
        <v>0</v>
      </c>
      <c r="AL181" s="129" t="s">
        <v>1476</v>
      </c>
      <c r="AM181" s="129" t="str">
        <f>INDEX($A$3:$A$24,INT((AG181+11)/12))</f>
        <v>Interest Income - 2010A Bonds (361-31)</v>
      </c>
    </row>
    <row r="182" spans="33:39" x14ac:dyDescent="0.25">
      <c r="AG182" s="129">
        <v>181</v>
      </c>
      <c r="AH182" s="129" t="s">
        <v>1474</v>
      </c>
      <c r="AI182" s="131">
        <f>DATE(YEAR(INDEX($B$2:$N$24,INT((AG182+11)/12)+1,1)),IF(MOD(AG182,12)&lt;&gt;0,MOD(AG182,12),12),1)</f>
        <v>41275</v>
      </c>
      <c r="AJ182" s="129">
        <f>INDEX($C$3:$N$24,INT((AG182+11)/12),AG182-(12*(INT((AG182+11)/12)-1)))</f>
        <v>0</v>
      </c>
      <c r="AK182" s="129">
        <f t="array" ref="AK182">INDEX($P$3:$P$24,MATCH(AM182&amp;YEAR(AI182),$A$3:$A$24&amp;YEAR($B$3:$B$24),0))</f>
        <v>0</v>
      </c>
      <c r="AL182" s="129" t="s">
        <v>1476</v>
      </c>
      <c r="AM182" s="129" t="str">
        <f>INDEX($A$3:$A$24,INT((AG182+11)/12))</f>
        <v>Interest Income - 2010A Bonds (361-31)</v>
      </c>
    </row>
    <row r="183" spans="33:39" x14ac:dyDescent="0.25">
      <c r="AG183" s="129">
        <v>182</v>
      </c>
      <c r="AH183" s="129" t="s">
        <v>1474</v>
      </c>
      <c r="AI183" s="131">
        <f>DATE(YEAR(INDEX($B$2:$N$24,INT((AG183+11)/12)+1,1)),IF(MOD(AG183,12)&lt;&gt;0,MOD(AG183,12),12),1)</f>
        <v>41306</v>
      </c>
      <c r="AJ183" s="129">
        <f>INDEX($C$3:$N$24,INT((AG183+11)/12),AG183-(12*(INT((AG183+11)/12)-1)))</f>
        <v>0</v>
      </c>
      <c r="AK183" s="129">
        <f t="array" ref="AK183">INDEX($P$3:$P$24,MATCH(AM183&amp;YEAR(AI183),$A$3:$A$24&amp;YEAR($B$3:$B$24),0))</f>
        <v>0</v>
      </c>
      <c r="AL183" s="129" t="s">
        <v>1476</v>
      </c>
      <c r="AM183" s="129" t="str">
        <f>INDEX($A$3:$A$24,INT((AG183+11)/12))</f>
        <v>Interest Income - 2010A Bonds (361-31)</v>
      </c>
    </row>
    <row r="184" spans="33:39" x14ac:dyDescent="0.25">
      <c r="AG184" s="129">
        <v>183</v>
      </c>
      <c r="AH184" s="129" t="s">
        <v>1474</v>
      </c>
      <c r="AI184" s="131">
        <f>DATE(YEAR(INDEX($B$2:$N$24,INT((AG184+11)/12)+1,1)),IF(MOD(AG184,12)&lt;&gt;0,MOD(AG184,12),12),1)</f>
        <v>41334</v>
      </c>
      <c r="AJ184" s="129">
        <f>INDEX($C$3:$N$24,INT((AG184+11)/12),AG184-(12*(INT((AG184+11)/12)-1)))</f>
        <v>165.78</v>
      </c>
      <c r="AK184" s="129">
        <f t="array" ref="AK184">INDEX($P$3:$P$24,MATCH(AM184&amp;YEAR(AI184),$A$3:$A$24&amp;YEAR($B$3:$B$24),0))</f>
        <v>0</v>
      </c>
      <c r="AL184" s="129" t="s">
        <v>1476</v>
      </c>
      <c r="AM184" s="129" t="str">
        <f>INDEX($A$3:$A$24,INT((AG184+11)/12))</f>
        <v>Interest Income - 2010A Bonds (361-31)</v>
      </c>
    </row>
    <row r="185" spans="33:39" x14ac:dyDescent="0.25">
      <c r="AG185" s="129">
        <v>184</v>
      </c>
      <c r="AH185" s="129" t="s">
        <v>1474</v>
      </c>
      <c r="AI185" s="131">
        <f>DATE(YEAR(INDEX($B$2:$N$24,INT((AG185+11)/12)+1,1)),IF(MOD(AG185,12)&lt;&gt;0,MOD(AG185,12),12),1)</f>
        <v>41365</v>
      </c>
      <c r="AJ185" s="129">
        <f>INDEX($C$3:$N$24,INT((AG185+11)/12),AG185-(12*(INT((AG185+11)/12)-1)))</f>
        <v>174.95</v>
      </c>
      <c r="AK185" s="129">
        <f t="array" ref="AK185">INDEX($P$3:$P$24,MATCH(AM185&amp;YEAR(AI185),$A$3:$A$24&amp;YEAR($B$3:$B$24),0))</f>
        <v>0</v>
      </c>
      <c r="AL185" s="129" t="s">
        <v>1476</v>
      </c>
      <c r="AM185" s="129" t="str">
        <f>INDEX($A$3:$A$24,INT((AG185+11)/12))</f>
        <v>Interest Income - 2010A Bonds (361-31)</v>
      </c>
    </row>
    <row r="186" spans="33:39" x14ac:dyDescent="0.25">
      <c r="AG186" s="129">
        <v>185</v>
      </c>
      <c r="AH186" s="129" t="s">
        <v>1474</v>
      </c>
      <c r="AI186" s="131">
        <f>DATE(YEAR(INDEX($B$2:$N$24,INT((AG186+11)/12)+1,1)),IF(MOD(AG186,12)&lt;&gt;0,MOD(AG186,12),12),1)</f>
        <v>41395</v>
      </c>
      <c r="AJ186" s="129">
        <f>INDEX($C$3:$N$24,INT((AG186+11)/12),AG186-(12*(INT((AG186+11)/12)-1)))</f>
        <v>161.86000000000001</v>
      </c>
      <c r="AK186" s="129">
        <f t="array" ref="AK186">INDEX($P$3:$P$24,MATCH(AM186&amp;YEAR(AI186),$A$3:$A$24&amp;YEAR($B$3:$B$24),0))</f>
        <v>0</v>
      </c>
      <c r="AL186" s="129" t="s">
        <v>1476</v>
      </c>
      <c r="AM186" s="129" t="str">
        <f>INDEX($A$3:$A$24,INT((AG186+11)/12))</f>
        <v>Interest Income - 2010A Bonds (361-31)</v>
      </c>
    </row>
    <row r="187" spans="33:39" x14ac:dyDescent="0.25">
      <c r="AG187" s="129">
        <v>186</v>
      </c>
      <c r="AH187" s="129" t="s">
        <v>1474</v>
      </c>
      <c r="AI187" s="131">
        <f>DATE(YEAR(INDEX($B$2:$N$24,INT((AG187+11)/12)+1,1)),IF(MOD(AG187,12)&lt;&gt;0,MOD(AG187,12),12),1)</f>
        <v>41426</v>
      </c>
      <c r="AJ187" s="129">
        <f>INDEX($C$3:$N$24,INT((AG187+11)/12),AG187-(12*(INT((AG187+11)/12)-1)))</f>
        <v>0</v>
      </c>
      <c r="AK187" s="129">
        <f t="array" ref="AK187">INDEX($P$3:$P$24,MATCH(AM187&amp;YEAR(AI187),$A$3:$A$24&amp;YEAR($B$3:$B$24),0))</f>
        <v>0</v>
      </c>
      <c r="AL187" s="129" t="s">
        <v>1476</v>
      </c>
      <c r="AM187" s="129" t="str">
        <f>INDEX($A$3:$A$24,INT((AG187+11)/12))</f>
        <v>Interest Income - 2010A Bonds (361-31)</v>
      </c>
    </row>
    <row r="188" spans="33:39" x14ac:dyDescent="0.25">
      <c r="AG188" s="129">
        <v>187</v>
      </c>
      <c r="AH188" s="129" t="s">
        <v>1474</v>
      </c>
      <c r="AI188" s="131">
        <f>DATE(YEAR(INDEX($B$2:$N$24,INT((AG188+11)/12)+1,1)),IF(MOD(AG188,12)&lt;&gt;0,MOD(AG188,12),12),1)</f>
        <v>41456</v>
      </c>
      <c r="AJ188" s="129">
        <f>INDEX($C$3:$N$24,INT((AG188+11)/12),AG188-(12*(INT((AG188+11)/12)-1)))</f>
        <v>0</v>
      </c>
      <c r="AK188" s="129">
        <f t="array" ref="AK188">INDEX($P$3:$P$24,MATCH(AM188&amp;YEAR(AI188),$A$3:$A$24&amp;YEAR($B$3:$B$24),0))</f>
        <v>0</v>
      </c>
      <c r="AL188" s="129" t="s">
        <v>1476</v>
      </c>
      <c r="AM188" s="129" t="str">
        <f>INDEX($A$3:$A$24,INT((AG188+11)/12))</f>
        <v>Interest Income - 2010A Bonds (361-31)</v>
      </c>
    </row>
    <row r="189" spans="33:39" x14ac:dyDescent="0.25">
      <c r="AG189" s="129">
        <v>188</v>
      </c>
      <c r="AH189" s="129" t="s">
        <v>1474</v>
      </c>
      <c r="AI189" s="131">
        <f>DATE(YEAR(INDEX($B$2:$N$24,INT((AG189+11)/12)+1,1)),IF(MOD(AG189,12)&lt;&gt;0,MOD(AG189,12),12),1)</f>
        <v>41487</v>
      </c>
      <c r="AJ189" s="129">
        <f>INDEX($C$3:$N$24,INT((AG189+11)/12),AG189-(12*(INT((AG189+11)/12)-1)))</f>
        <v>0</v>
      </c>
      <c r="AK189" s="129">
        <f t="array" ref="AK189">INDEX($P$3:$P$24,MATCH(AM189&amp;YEAR(AI189),$A$3:$A$24&amp;YEAR($B$3:$B$24),0))</f>
        <v>0</v>
      </c>
      <c r="AL189" s="129" t="s">
        <v>1476</v>
      </c>
      <c r="AM189" s="129" t="str">
        <f>INDEX($A$3:$A$24,INT((AG189+11)/12))</f>
        <v>Interest Income - 2010A Bonds (361-31)</v>
      </c>
    </row>
    <row r="190" spans="33:39" x14ac:dyDescent="0.25">
      <c r="AG190" s="129">
        <v>189</v>
      </c>
      <c r="AH190" s="129" t="s">
        <v>1474</v>
      </c>
      <c r="AI190" s="131">
        <f>DATE(YEAR(INDEX($B$2:$N$24,INT((AG190+11)/12)+1,1)),IF(MOD(AG190,12)&lt;&gt;0,MOD(AG190,12),12),1)</f>
        <v>41518</v>
      </c>
      <c r="AJ190" s="129">
        <f>INDEX($C$3:$N$24,INT((AG190+11)/12),AG190-(12*(INT((AG190+11)/12)-1)))</f>
        <v>0</v>
      </c>
      <c r="AK190" s="129">
        <f t="array" ref="AK190">INDEX($P$3:$P$24,MATCH(AM190&amp;YEAR(AI190),$A$3:$A$24&amp;YEAR($B$3:$B$24),0))</f>
        <v>0</v>
      </c>
      <c r="AL190" s="129" t="s">
        <v>1476</v>
      </c>
      <c r="AM190" s="129" t="str">
        <f>INDEX($A$3:$A$24,INT((AG190+11)/12))</f>
        <v>Interest Income - 2010A Bonds (361-31)</v>
      </c>
    </row>
    <row r="191" spans="33:39" x14ac:dyDescent="0.25">
      <c r="AG191" s="129">
        <v>190</v>
      </c>
      <c r="AH191" s="129" t="s">
        <v>1474</v>
      </c>
      <c r="AI191" s="131">
        <f>DATE(YEAR(INDEX($B$2:$N$24,INT((AG191+11)/12)+1,1)),IF(MOD(AG191,12)&lt;&gt;0,MOD(AG191,12),12),1)</f>
        <v>41548</v>
      </c>
      <c r="AJ191" s="129">
        <f>INDEX($C$3:$N$24,INT((AG191+11)/12),AG191-(12*(INT((AG191+11)/12)-1)))</f>
        <v>0</v>
      </c>
      <c r="AK191" s="129">
        <f t="array" ref="AK191">INDEX($P$3:$P$24,MATCH(AM191&amp;YEAR(AI191),$A$3:$A$24&amp;YEAR($B$3:$B$24),0))</f>
        <v>0</v>
      </c>
      <c r="AL191" s="129" t="s">
        <v>1476</v>
      </c>
      <c r="AM191" s="129" t="str">
        <f>INDEX($A$3:$A$24,INT((AG191+11)/12))</f>
        <v>Interest Income - 2010A Bonds (361-31)</v>
      </c>
    </row>
    <row r="192" spans="33:39" x14ac:dyDescent="0.25">
      <c r="AG192" s="129">
        <v>191</v>
      </c>
      <c r="AH192" s="129" t="s">
        <v>1474</v>
      </c>
      <c r="AI192" s="131">
        <f>DATE(YEAR(INDEX($B$2:$N$24,INT((AG192+11)/12)+1,1)),IF(MOD(AG192,12)&lt;&gt;0,MOD(AG192,12),12),1)</f>
        <v>41579</v>
      </c>
      <c r="AJ192" s="129">
        <f>INDEX($C$3:$N$24,INT((AG192+11)/12),AG192-(12*(INT((AG192+11)/12)-1)))</f>
        <v>0</v>
      </c>
      <c r="AK192" s="129">
        <f t="array" ref="AK192">INDEX($P$3:$P$24,MATCH(AM192&amp;YEAR(AI192),$A$3:$A$24&amp;YEAR($B$3:$B$24),0))</f>
        <v>0</v>
      </c>
      <c r="AL192" s="129" t="s">
        <v>1476</v>
      </c>
      <c r="AM192" s="129" t="str">
        <f>INDEX($A$3:$A$24,INT((AG192+11)/12))</f>
        <v>Interest Income - 2010A Bonds (361-31)</v>
      </c>
    </row>
    <row r="193" spans="33:39" x14ac:dyDescent="0.25">
      <c r="AG193" s="129">
        <v>192</v>
      </c>
      <c r="AH193" s="129" t="s">
        <v>1474</v>
      </c>
      <c r="AI193" s="131">
        <f>DATE(YEAR(INDEX($B$2:$N$24,INT((AG193+11)/12)+1,1)),IF(MOD(AG193,12)&lt;&gt;0,MOD(AG193,12),12),1)</f>
        <v>41609</v>
      </c>
      <c r="AJ193" s="129">
        <f>INDEX($C$3:$N$24,INT((AG193+11)/12),AG193-(12*(INT((AG193+11)/12)-1)))</f>
        <v>0</v>
      </c>
      <c r="AK193" s="129">
        <f t="array" ref="AK193">INDEX($P$3:$P$24,MATCH(AM193&amp;YEAR(AI193),$A$3:$A$24&amp;YEAR($B$3:$B$24),0))</f>
        <v>0</v>
      </c>
      <c r="AL193" s="129" t="s">
        <v>1476</v>
      </c>
      <c r="AM193" s="129" t="str">
        <f>INDEX($A$3:$A$24,INT((AG193+11)/12))</f>
        <v>Interest Income - 2010A Bonds (361-31)</v>
      </c>
    </row>
    <row r="194" spans="33:39" x14ac:dyDescent="0.25">
      <c r="AG194" s="129">
        <v>193</v>
      </c>
      <c r="AH194" s="129" t="s">
        <v>1474</v>
      </c>
      <c r="AI194" s="131">
        <f>DATE(YEAR(INDEX($B$2:$N$24,INT((AG194+11)/12)+1,1)),IF(MOD(AG194,12)&lt;&gt;0,MOD(AG194,12),12),1)</f>
        <v>40909</v>
      </c>
      <c r="AJ194" s="129">
        <f>INDEX($C$3:$N$24,INT((AG194+11)/12),AG194-(12*(INT((AG194+11)/12)-1)))</f>
        <v>0</v>
      </c>
      <c r="AK194" s="129">
        <f t="array" ref="AK194">INDEX($P$3:$P$24,MATCH(AM194&amp;YEAR(AI194),$A$3:$A$24&amp;YEAR($B$3:$B$24),0))</f>
        <v>0</v>
      </c>
      <c r="AL194" s="129" t="s">
        <v>1476</v>
      </c>
      <c r="AM194" s="129" t="str">
        <f>INDEX($A$3:$A$24,INT((AG194+11)/12))</f>
        <v>Unrealized Gain/Loss (361-70)</v>
      </c>
    </row>
    <row r="195" spans="33:39" x14ac:dyDescent="0.25">
      <c r="AG195" s="129">
        <v>194</v>
      </c>
      <c r="AH195" s="129" t="s">
        <v>1474</v>
      </c>
      <c r="AI195" s="131">
        <f>DATE(YEAR(INDEX($B$2:$N$24,INT((AG195+11)/12)+1,1)),IF(MOD(AG195,12)&lt;&gt;0,MOD(AG195,12),12),1)</f>
        <v>40940</v>
      </c>
      <c r="AJ195" s="129">
        <f>INDEX($C$3:$N$24,INT((AG195+11)/12),AG195-(12*(INT((AG195+11)/12)-1)))</f>
        <v>0</v>
      </c>
      <c r="AK195" s="129">
        <f t="array" ref="AK195">INDEX($P$3:$P$24,MATCH(AM195&amp;YEAR(AI195),$A$3:$A$24&amp;YEAR($B$3:$B$24),0))</f>
        <v>0</v>
      </c>
      <c r="AL195" s="129" t="s">
        <v>1476</v>
      </c>
      <c r="AM195" s="129" t="str">
        <f>INDEX($A$3:$A$24,INT((AG195+11)/12))</f>
        <v>Unrealized Gain/Loss (361-70)</v>
      </c>
    </row>
    <row r="196" spans="33:39" x14ac:dyDescent="0.25">
      <c r="AG196" s="129">
        <v>195</v>
      </c>
      <c r="AH196" s="129" t="s">
        <v>1474</v>
      </c>
      <c r="AI196" s="131">
        <f>DATE(YEAR(INDEX($B$2:$N$24,INT((AG196+11)/12)+1,1)),IF(MOD(AG196,12)&lt;&gt;0,MOD(AG196,12),12),1)</f>
        <v>40969</v>
      </c>
      <c r="AJ196" s="129">
        <f>INDEX($C$3:$N$24,INT((AG196+11)/12),AG196-(12*(INT((AG196+11)/12)-1)))</f>
        <v>0</v>
      </c>
      <c r="AK196" s="129">
        <f t="array" ref="AK196">INDEX($P$3:$P$24,MATCH(AM196&amp;YEAR(AI196),$A$3:$A$24&amp;YEAR($B$3:$B$24),0))</f>
        <v>0</v>
      </c>
      <c r="AL196" s="129" t="s">
        <v>1476</v>
      </c>
      <c r="AM196" s="129" t="str">
        <f>INDEX($A$3:$A$24,INT((AG196+11)/12))</f>
        <v>Unrealized Gain/Loss (361-70)</v>
      </c>
    </row>
    <row r="197" spans="33:39" x14ac:dyDescent="0.25">
      <c r="AG197" s="129">
        <v>196</v>
      </c>
      <c r="AH197" s="129" t="s">
        <v>1474</v>
      </c>
      <c r="AI197" s="131">
        <f>DATE(YEAR(INDEX($B$2:$N$24,INT((AG197+11)/12)+1,1)),IF(MOD(AG197,12)&lt;&gt;0,MOD(AG197,12),12),1)</f>
        <v>41000</v>
      </c>
      <c r="AJ197" s="129">
        <f>INDEX($C$3:$N$24,INT((AG197+11)/12),AG197-(12*(INT((AG197+11)/12)-1)))</f>
        <v>0</v>
      </c>
      <c r="AK197" s="129">
        <f t="array" ref="AK197">INDEX($P$3:$P$24,MATCH(AM197&amp;YEAR(AI197),$A$3:$A$24&amp;YEAR($B$3:$B$24),0))</f>
        <v>0</v>
      </c>
      <c r="AL197" s="129" t="s">
        <v>1476</v>
      </c>
      <c r="AM197" s="129" t="str">
        <f>INDEX($A$3:$A$24,INT((AG197+11)/12))</f>
        <v>Unrealized Gain/Loss (361-70)</v>
      </c>
    </row>
    <row r="198" spans="33:39" x14ac:dyDescent="0.25">
      <c r="AG198" s="129">
        <v>197</v>
      </c>
      <c r="AH198" s="129" t="s">
        <v>1474</v>
      </c>
      <c r="AI198" s="131">
        <f>DATE(YEAR(INDEX($B$2:$N$24,INT((AG198+11)/12)+1,1)),IF(MOD(AG198,12)&lt;&gt;0,MOD(AG198,12),12),1)</f>
        <v>41030</v>
      </c>
      <c r="AJ198" s="129">
        <f>INDEX($C$3:$N$24,INT((AG198+11)/12),AG198-(12*(INT((AG198+11)/12)-1)))</f>
        <v>0</v>
      </c>
      <c r="AK198" s="129">
        <f t="array" ref="AK198">INDEX($P$3:$P$24,MATCH(AM198&amp;YEAR(AI198),$A$3:$A$24&amp;YEAR($B$3:$B$24),0))</f>
        <v>0</v>
      </c>
      <c r="AL198" s="129" t="s">
        <v>1476</v>
      </c>
      <c r="AM198" s="129" t="str">
        <f>INDEX($A$3:$A$24,INT((AG198+11)/12))</f>
        <v>Unrealized Gain/Loss (361-70)</v>
      </c>
    </row>
    <row r="199" spans="33:39" x14ac:dyDescent="0.25">
      <c r="AG199" s="129">
        <v>198</v>
      </c>
      <c r="AH199" s="129" t="s">
        <v>1474</v>
      </c>
      <c r="AI199" s="131">
        <f>DATE(YEAR(INDEX($B$2:$N$24,INT((AG199+11)/12)+1,1)),IF(MOD(AG199,12)&lt;&gt;0,MOD(AG199,12),12),1)</f>
        <v>41061</v>
      </c>
      <c r="AJ199" s="129">
        <f>INDEX($C$3:$N$24,INT((AG199+11)/12),AG199-(12*(INT((AG199+11)/12)-1)))</f>
        <v>0</v>
      </c>
      <c r="AK199" s="129">
        <f t="array" ref="AK199">INDEX($P$3:$P$24,MATCH(AM199&amp;YEAR(AI199),$A$3:$A$24&amp;YEAR($B$3:$B$24),0))</f>
        <v>0</v>
      </c>
      <c r="AL199" s="129" t="s">
        <v>1476</v>
      </c>
      <c r="AM199" s="129" t="str">
        <f>INDEX($A$3:$A$24,INT((AG199+11)/12))</f>
        <v>Unrealized Gain/Loss (361-70)</v>
      </c>
    </row>
    <row r="200" spans="33:39" x14ac:dyDescent="0.25">
      <c r="AG200" s="129">
        <v>199</v>
      </c>
      <c r="AH200" s="129" t="s">
        <v>1474</v>
      </c>
      <c r="AI200" s="131">
        <f>DATE(YEAR(INDEX($B$2:$N$24,INT((AG200+11)/12)+1,1)),IF(MOD(AG200,12)&lt;&gt;0,MOD(AG200,12),12),1)</f>
        <v>41091</v>
      </c>
      <c r="AJ200" s="129">
        <f>INDEX($C$3:$N$24,INT((AG200+11)/12),AG200-(12*(INT((AG200+11)/12)-1)))</f>
        <v>0</v>
      </c>
      <c r="AK200" s="129">
        <f t="array" ref="AK200">INDEX($P$3:$P$24,MATCH(AM200&amp;YEAR(AI200),$A$3:$A$24&amp;YEAR($B$3:$B$24),0))</f>
        <v>0</v>
      </c>
      <c r="AL200" s="129" t="s">
        <v>1476</v>
      </c>
      <c r="AM200" s="129" t="str">
        <f>INDEX($A$3:$A$24,INT((AG200+11)/12))</f>
        <v>Unrealized Gain/Loss (361-70)</v>
      </c>
    </row>
    <row r="201" spans="33:39" x14ac:dyDescent="0.25">
      <c r="AG201" s="129">
        <v>200</v>
      </c>
      <c r="AH201" s="129" t="s">
        <v>1474</v>
      </c>
      <c r="AI201" s="131">
        <f>DATE(YEAR(INDEX($B$2:$N$24,INT((AG201+11)/12)+1,1)),IF(MOD(AG201,12)&lt;&gt;0,MOD(AG201,12),12),1)</f>
        <v>41122</v>
      </c>
      <c r="AJ201" s="129">
        <f>INDEX($C$3:$N$24,INT((AG201+11)/12),AG201-(12*(INT((AG201+11)/12)-1)))</f>
        <v>0</v>
      </c>
      <c r="AK201" s="129">
        <f t="array" ref="AK201">INDEX($P$3:$P$24,MATCH(AM201&amp;YEAR(AI201),$A$3:$A$24&amp;YEAR($B$3:$B$24),0))</f>
        <v>0</v>
      </c>
      <c r="AL201" s="129" t="s">
        <v>1476</v>
      </c>
      <c r="AM201" s="129" t="str">
        <f>INDEX($A$3:$A$24,INT((AG201+11)/12))</f>
        <v>Unrealized Gain/Loss (361-70)</v>
      </c>
    </row>
    <row r="202" spans="33:39" x14ac:dyDescent="0.25">
      <c r="AG202" s="129">
        <v>201</v>
      </c>
      <c r="AH202" s="129" t="s">
        <v>1474</v>
      </c>
      <c r="AI202" s="131">
        <f>DATE(YEAR(INDEX($B$2:$N$24,INT((AG202+11)/12)+1,1)),IF(MOD(AG202,12)&lt;&gt;0,MOD(AG202,12),12),1)</f>
        <v>41153</v>
      </c>
      <c r="AJ202" s="129">
        <f>INDEX($C$3:$N$24,INT((AG202+11)/12),AG202-(12*(INT((AG202+11)/12)-1)))</f>
        <v>0</v>
      </c>
      <c r="AK202" s="129">
        <f t="array" ref="AK202">INDEX($P$3:$P$24,MATCH(AM202&amp;YEAR(AI202),$A$3:$A$24&amp;YEAR($B$3:$B$24),0))</f>
        <v>0</v>
      </c>
      <c r="AL202" s="129" t="s">
        <v>1476</v>
      </c>
      <c r="AM202" s="129" t="str">
        <f>INDEX($A$3:$A$24,INT((AG202+11)/12))</f>
        <v>Unrealized Gain/Loss (361-70)</v>
      </c>
    </row>
    <row r="203" spans="33:39" x14ac:dyDescent="0.25">
      <c r="AG203" s="129">
        <v>202</v>
      </c>
      <c r="AH203" s="129" t="s">
        <v>1474</v>
      </c>
      <c r="AI203" s="131">
        <f>DATE(YEAR(INDEX($B$2:$N$24,INT((AG203+11)/12)+1,1)),IF(MOD(AG203,12)&lt;&gt;0,MOD(AG203,12),12),1)</f>
        <v>41183</v>
      </c>
      <c r="AJ203" s="129">
        <f>INDEX($C$3:$N$24,INT((AG203+11)/12),AG203-(12*(INT((AG203+11)/12)-1)))</f>
        <v>0</v>
      </c>
      <c r="AK203" s="129">
        <f t="array" ref="AK203">INDEX($P$3:$P$24,MATCH(AM203&amp;YEAR(AI203),$A$3:$A$24&amp;YEAR($B$3:$B$24),0))</f>
        <v>0</v>
      </c>
      <c r="AL203" s="129" t="s">
        <v>1476</v>
      </c>
      <c r="AM203" s="129" t="str">
        <f>INDEX($A$3:$A$24,INT((AG203+11)/12))</f>
        <v>Unrealized Gain/Loss (361-70)</v>
      </c>
    </row>
    <row r="204" spans="33:39" x14ac:dyDescent="0.25">
      <c r="AG204" s="129">
        <v>203</v>
      </c>
      <c r="AH204" s="129" t="s">
        <v>1474</v>
      </c>
      <c r="AI204" s="131">
        <f>DATE(YEAR(INDEX($B$2:$N$24,INT((AG204+11)/12)+1,1)),IF(MOD(AG204,12)&lt;&gt;0,MOD(AG204,12),12),1)</f>
        <v>41214</v>
      </c>
      <c r="AJ204" s="129">
        <f>INDEX($C$3:$N$24,INT((AG204+11)/12),AG204-(12*(INT((AG204+11)/12)-1)))</f>
        <v>0</v>
      </c>
      <c r="AK204" s="129">
        <f t="array" ref="AK204">INDEX($P$3:$P$24,MATCH(AM204&amp;YEAR(AI204),$A$3:$A$24&amp;YEAR($B$3:$B$24),0))</f>
        <v>0</v>
      </c>
      <c r="AL204" s="129" t="s">
        <v>1476</v>
      </c>
      <c r="AM204" s="129" t="str">
        <f>INDEX($A$3:$A$24,INT((AG204+11)/12))</f>
        <v>Unrealized Gain/Loss (361-70)</v>
      </c>
    </row>
    <row r="205" spans="33:39" x14ac:dyDescent="0.25">
      <c r="AG205" s="129">
        <v>204</v>
      </c>
      <c r="AH205" s="129" t="s">
        <v>1474</v>
      </c>
      <c r="AI205" s="131">
        <f>DATE(YEAR(INDEX($B$2:$N$24,INT((AG205+11)/12)+1,1)),IF(MOD(AG205,12)&lt;&gt;0,MOD(AG205,12),12),1)</f>
        <v>41244</v>
      </c>
      <c r="AJ205" s="129">
        <f>INDEX($C$3:$N$24,INT((AG205+11)/12),AG205-(12*(INT((AG205+11)/12)-1)))</f>
        <v>-23690.68</v>
      </c>
      <c r="AK205" s="129">
        <f t="array" ref="AK205">INDEX($P$3:$P$24,MATCH(AM205&amp;YEAR(AI205),$A$3:$A$24&amp;YEAR($B$3:$B$24),0))</f>
        <v>0</v>
      </c>
      <c r="AL205" s="129" t="s">
        <v>1476</v>
      </c>
      <c r="AM205" s="129" t="str">
        <f>INDEX($A$3:$A$24,INT((AG205+11)/12))</f>
        <v>Unrealized Gain/Loss (361-70)</v>
      </c>
    </row>
    <row r="206" spans="33:39" x14ac:dyDescent="0.25">
      <c r="AG206" s="129">
        <v>205</v>
      </c>
      <c r="AH206" s="129" t="s">
        <v>1474</v>
      </c>
      <c r="AI206" s="131">
        <f>DATE(YEAR(INDEX($B$2:$N$24,INT((AG206+11)/12)+1,1)),IF(MOD(AG206,12)&lt;&gt;0,MOD(AG206,12),12),1)</f>
        <v>41275</v>
      </c>
      <c r="AJ206" s="129">
        <f>INDEX($C$3:$N$24,INT((AG206+11)/12),AG206-(12*(INT((AG206+11)/12)-1)))</f>
        <v>0</v>
      </c>
      <c r="AK206" s="129">
        <f t="array" ref="AK206">INDEX($P$3:$P$24,MATCH(AM206&amp;YEAR(AI206),$A$3:$A$24&amp;YEAR($B$3:$B$24),0))</f>
        <v>0</v>
      </c>
      <c r="AL206" s="129" t="s">
        <v>1476</v>
      </c>
      <c r="AM206" s="129" t="str">
        <f>INDEX($A$3:$A$24,INT((AG206+11)/12))</f>
        <v>Unrealized Gain/Loss (361-70)</v>
      </c>
    </row>
    <row r="207" spans="33:39" x14ac:dyDescent="0.25">
      <c r="AG207" s="129">
        <v>206</v>
      </c>
      <c r="AH207" s="129" t="s">
        <v>1474</v>
      </c>
      <c r="AI207" s="131">
        <f>DATE(YEAR(INDEX($B$2:$N$24,INT((AG207+11)/12)+1,1)),IF(MOD(AG207,12)&lt;&gt;0,MOD(AG207,12),12),1)</f>
        <v>41306</v>
      </c>
      <c r="AJ207" s="129">
        <f>INDEX($C$3:$N$24,INT((AG207+11)/12),AG207-(12*(INT((AG207+11)/12)-1)))</f>
        <v>0</v>
      </c>
      <c r="AK207" s="129">
        <f t="array" ref="AK207">INDEX($P$3:$P$24,MATCH(AM207&amp;YEAR(AI207),$A$3:$A$24&amp;YEAR($B$3:$B$24),0))</f>
        <v>0</v>
      </c>
      <c r="AL207" s="129" t="s">
        <v>1476</v>
      </c>
      <c r="AM207" s="129" t="str">
        <f>INDEX($A$3:$A$24,INT((AG207+11)/12))</f>
        <v>Unrealized Gain/Loss (361-70)</v>
      </c>
    </row>
    <row r="208" spans="33:39" x14ac:dyDescent="0.25">
      <c r="AG208" s="129">
        <v>207</v>
      </c>
      <c r="AH208" s="129" t="s">
        <v>1474</v>
      </c>
      <c r="AI208" s="131">
        <f>DATE(YEAR(INDEX($B$2:$N$24,INT((AG208+11)/12)+1,1)),IF(MOD(AG208,12)&lt;&gt;0,MOD(AG208,12),12),1)</f>
        <v>41334</v>
      </c>
      <c r="AJ208" s="129">
        <f>INDEX($C$3:$N$24,INT((AG208+11)/12),AG208-(12*(INT((AG208+11)/12)-1)))</f>
        <v>0</v>
      </c>
      <c r="AK208" s="129">
        <f t="array" ref="AK208">INDEX($P$3:$P$24,MATCH(AM208&amp;YEAR(AI208),$A$3:$A$24&amp;YEAR($B$3:$B$24),0))</f>
        <v>0</v>
      </c>
      <c r="AL208" s="129" t="s">
        <v>1476</v>
      </c>
      <c r="AM208" s="129" t="str">
        <f>INDEX($A$3:$A$24,INT((AG208+11)/12))</f>
        <v>Unrealized Gain/Loss (361-70)</v>
      </c>
    </row>
    <row r="209" spans="33:39" x14ac:dyDescent="0.25">
      <c r="AG209" s="129">
        <v>208</v>
      </c>
      <c r="AH209" s="129" t="s">
        <v>1474</v>
      </c>
      <c r="AI209" s="131">
        <f>DATE(YEAR(INDEX($B$2:$N$24,INT((AG209+11)/12)+1,1)),IF(MOD(AG209,12)&lt;&gt;0,MOD(AG209,12),12),1)</f>
        <v>41365</v>
      </c>
      <c r="AJ209" s="129">
        <f>INDEX($C$3:$N$24,INT((AG209+11)/12),AG209-(12*(INT((AG209+11)/12)-1)))</f>
        <v>0</v>
      </c>
      <c r="AK209" s="129">
        <f t="array" ref="AK209">INDEX($P$3:$P$24,MATCH(AM209&amp;YEAR(AI209),$A$3:$A$24&amp;YEAR($B$3:$B$24),0))</f>
        <v>0</v>
      </c>
      <c r="AL209" s="129" t="s">
        <v>1476</v>
      </c>
      <c r="AM209" s="129" t="str">
        <f>INDEX($A$3:$A$24,INT((AG209+11)/12))</f>
        <v>Unrealized Gain/Loss (361-70)</v>
      </c>
    </row>
    <row r="210" spans="33:39" x14ac:dyDescent="0.25">
      <c r="AG210" s="129">
        <v>209</v>
      </c>
      <c r="AH210" s="129" t="s">
        <v>1474</v>
      </c>
      <c r="AI210" s="131">
        <f>DATE(YEAR(INDEX($B$2:$N$24,INT((AG210+11)/12)+1,1)),IF(MOD(AG210,12)&lt;&gt;0,MOD(AG210,12),12),1)</f>
        <v>41395</v>
      </c>
      <c r="AJ210" s="129">
        <f>INDEX($C$3:$N$24,INT((AG210+11)/12),AG210-(12*(INT((AG210+11)/12)-1)))</f>
        <v>0</v>
      </c>
      <c r="AK210" s="129">
        <f t="array" ref="AK210">INDEX($P$3:$P$24,MATCH(AM210&amp;YEAR(AI210),$A$3:$A$24&amp;YEAR($B$3:$B$24),0))</f>
        <v>0</v>
      </c>
      <c r="AL210" s="129" t="s">
        <v>1476</v>
      </c>
      <c r="AM210" s="129" t="str">
        <f>INDEX($A$3:$A$24,INT((AG210+11)/12))</f>
        <v>Unrealized Gain/Loss (361-70)</v>
      </c>
    </row>
    <row r="211" spans="33:39" x14ac:dyDescent="0.25">
      <c r="AG211" s="129">
        <v>210</v>
      </c>
      <c r="AH211" s="129" t="s">
        <v>1474</v>
      </c>
      <c r="AI211" s="131">
        <f>DATE(YEAR(INDEX($B$2:$N$24,INT((AG211+11)/12)+1,1)),IF(MOD(AG211,12)&lt;&gt;0,MOD(AG211,12),12),1)</f>
        <v>41426</v>
      </c>
      <c r="AJ211" s="129">
        <f>INDEX($C$3:$N$24,INT((AG211+11)/12),AG211-(12*(INT((AG211+11)/12)-1)))</f>
        <v>0</v>
      </c>
      <c r="AK211" s="129">
        <f t="array" ref="AK211">INDEX($P$3:$P$24,MATCH(AM211&amp;YEAR(AI211),$A$3:$A$24&amp;YEAR($B$3:$B$24),0))</f>
        <v>0</v>
      </c>
      <c r="AL211" s="129" t="s">
        <v>1476</v>
      </c>
      <c r="AM211" s="129" t="str">
        <f>INDEX($A$3:$A$24,INT((AG211+11)/12))</f>
        <v>Unrealized Gain/Loss (361-70)</v>
      </c>
    </row>
    <row r="212" spans="33:39" x14ac:dyDescent="0.25">
      <c r="AG212" s="129">
        <v>211</v>
      </c>
      <c r="AH212" s="129" t="s">
        <v>1474</v>
      </c>
      <c r="AI212" s="131">
        <f>DATE(YEAR(INDEX($B$2:$N$24,INT((AG212+11)/12)+1,1)),IF(MOD(AG212,12)&lt;&gt;0,MOD(AG212,12),12),1)</f>
        <v>41456</v>
      </c>
      <c r="AJ212" s="129">
        <f>INDEX($C$3:$N$24,INT((AG212+11)/12),AG212-(12*(INT((AG212+11)/12)-1)))</f>
        <v>0</v>
      </c>
      <c r="AK212" s="129">
        <f t="array" ref="AK212">INDEX($P$3:$P$24,MATCH(AM212&amp;YEAR(AI212),$A$3:$A$24&amp;YEAR($B$3:$B$24),0))</f>
        <v>0</v>
      </c>
      <c r="AL212" s="129" t="s">
        <v>1476</v>
      </c>
      <c r="AM212" s="129" t="str">
        <f>INDEX($A$3:$A$24,INT((AG212+11)/12))</f>
        <v>Unrealized Gain/Loss (361-70)</v>
      </c>
    </row>
    <row r="213" spans="33:39" x14ac:dyDescent="0.25">
      <c r="AG213" s="129">
        <v>212</v>
      </c>
      <c r="AH213" s="129" t="s">
        <v>1474</v>
      </c>
      <c r="AI213" s="131">
        <f>DATE(YEAR(INDEX($B$2:$N$24,INT((AG213+11)/12)+1,1)),IF(MOD(AG213,12)&lt;&gt;0,MOD(AG213,12),12),1)</f>
        <v>41487</v>
      </c>
      <c r="AJ213" s="129">
        <f>INDEX($C$3:$N$24,INT((AG213+11)/12),AG213-(12*(INT((AG213+11)/12)-1)))</f>
        <v>0</v>
      </c>
      <c r="AK213" s="129">
        <f t="array" ref="AK213">INDEX($P$3:$P$24,MATCH(AM213&amp;YEAR(AI213),$A$3:$A$24&amp;YEAR($B$3:$B$24),0))</f>
        <v>0</v>
      </c>
      <c r="AL213" s="129" t="s">
        <v>1476</v>
      </c>
      <c r="AM213" s="129" t="str">
        <f>INDEX($A$3:$A$24,INT((AG213+11)/12))</f>
        <v>Unrealized Gain/Loss (361-70)</v>
      </c>
    </row>
    <row r="214" spans="33:39" x14ac:dyDescent="0.25">
      <c r="AG214" s="129">
        <v>213</v>
      </c>
      <c r="AH214" s="129" t="s">
        <v>1474</v>
      </c>
      <c r="AI214" s="131">
        <f>DATE(YEAR(INDEX($B$2:$N$24,INT((AG214+11)/12)+1,1)),IF(MOD(AG214,12)&lt;&gt;0,MOD(AG214,12),12),1)</f>
        <v>41518</v>
      </c>
      <c r="AJ214" s="129">
        <f>INDEX($C$3:$N$24,INT((AG214+11)/12),AG214-(12*(INT((AG214+11)/12)-1)))</f>
        <v>0</v>
      </c>
      <c r="AK214" s="129">
        <f t="array" ref="AK214">INDEX($P$3:$P$24,MATCH(AM214&amp;YEAR(AI214),$A$3:$A$24&amp;YEAR($B$3:$B$24),0))</f>
        <v>0</v>
      </c>
      <c r="AL214" s="129" t="s">
        <v>1476</v>
      </c>
      <c r="AM214" s="129" t="str">
        <f>INDEX($A$3:$A$24,INT((AG214+11)/12))</f>
        <v>Unrealized Gain/Loss (361-70)</v>
      </c>
    </row>
    <row r="215" spans="33:39" x14ac:dyDescent="0.25">
      <c r="AG215" s="129">
        <v>214</v>
      </c>
      <c r="AH215" s="129" t="s">
        <v>1474</v>
      </c>
      <c r="AI215" s="131">
        <f>DATE(YEAR(INDEX($B$2:$N$24,INT((AG215+11)/12)+1,1)),IF(MOD(AG215,12)&lt;&gt;0,MOD(AG215,12),12),1)</f>
        <v>41548</v>
      </c>
      <c r="AJ215" s="129">
        <f>INDEX($C$3:$N$24,INT((AG215+11)/12),AG215-(12*(INT((AG215+11)/12)-1)))</f>
        <v>0</v>
      </c>
      <c r="AK215" s="129">
        <f t="array" ref="AK215">INDEX($P$3:$P$24,MATCH(AM215&amp;YEAR(AI215),$A$3:$A$24&amp;YEAR($B$3:$B$24),0))</f>
        <v>0</v>
      </c>
      <c r="AL215" s="129" t="s">
        <v>1476</v>
      </c>
      <c r="AM215" s="129" t="str">
        <f>INDEX($A$3:$A$24,INT((AG215+11)/12))</f>
        <v>Unrealized Gain/Loss (361-70)</v>
      </c>
    </row>
    <row r="216" spans="33:39" x14ac:dyDescent="0.25">
      <c r="AG216" s="129">
        <v>215</v>
      </c>
      <c r="AH216" s="129" t="s">
        <v>1474</v>
      </c>
      <c r="AI216" s="131">
        <f>DATE(YEAR(INDEX($B$2:$N$24,INT((AG216+11)/12)+1,1)),IF(MOD(AG216,12)&lt;&gt;0,MOD(AG216,12),12),1)</f>
        <v>41579</v>
      </c>
      <c r="AJ216" s="129">
        <f>INDEX($C$3:$N$24,INT((AG216+11)/12),AG216-(12*(INT((AG216+11)/12)-1)))</f>
        <v>0</v>
      </c>
      <c r="AK216" s="129">
        <f t="array" ref="AK216">INDEX($P$3:$P$24,MATCH(AM216&amp;YEAR(AI216),$A$3:$A$24&amp;YEAR($B$3:$B$24),0))</f>
        <v>0</v>
      </c>
      <c r="AL216" s="129" t="s">
        <v>1476</v>
      </c>
      <c r="AM216" s="129" t="str">
        <f>INDEX($A$3:$A$24,INT((AG216+11)/12))</f>
        <v>Unrealized Gain/Loss (361-70)</v>
      </c>
    </row>
    <row r="217" spans="33:39" x14ac:dyDescent="0.25">
      <c r="AG217" s="129">
        <v>216</v>
      </c>
      <c r="AH217" s="129" t="s">
        <v>1474</v>
      </c>
      <c r="AI217" s="131">
        <f>DATE(YEAR(INDEX($B$2:$N$24,INT((AG217+11)/12)+1,1)),IF(MOD(AG217,12)&lt;&gt;0,MOD(AG217,12),12),1)</f>
        <v>41609</v>
      </c>
      <c r="AJ217" s="129">
        <f>INDEX($C$3:$N$24,INT((AG217+11)/12),AG217-(12*(INT((AG217+11)/12)-1)))</f>
        <v>0</v>
      </c>
      <c r="AK217" s="129">
        <f t="array" ref="AK217">INDEX($P$3:$P$24,MATCH(AM217&amp;YEAR(AI217),$A$3:$A$24&amp;YEAR($B$3:$B$24),0))</f>
        <v>0</v>
      </c>
      <c r="AL217" s="129" t="s">
        <v>1476</v>
      </c>
      <c r="AM217" s="129" t="str">
        <f>INDEX($A$3:$A$24,INT((AG217+11)/12))</f>
        <v>Unrealized Gain/Loss (361-70)</v>
      </c>
    </row>
    <row r="218" spans="33:39" x14ac:dyDescent="0.25">
      <c r="AG218" s="129">
        <v>217</v>
      </c>
      <c r="AH218" s="129" t="s">
        <v>1474</v>
      </c>
      <c r="AI218" s="131">
        <f>DATE(YEAR(INDEX($B$2:$N$24,INT((AG218+11)/12)+1,1)),IF(MOD(AG218,12)&lt;&gt;0,MOD(AG218,12),12),1)</f>
        <v>40909</v>
      </c>
      <c r="AJ218" s="129">
        <f>INDEX($C$3:$N$24,INT((AG218+11)/12),AG218-(12*(INT((AG218+11)/12)-1)))</f>
        <v>0</v>
      </c>
      <c r="AK218" s="129">
        <f t="array" ref="AK218">INDEX($P$3:$P$24,MATCH(AM218&amp;YEAR(AI218),$A$3:$A$24&amp;YEAR($B$3:$B$24),0))</f>
        <v>30000</v>
      </c>
      <c r="AL218" s="129" t="s">
        <v>1476</v>
      </c>
      <c r="AM218" s="129" t="str">
        <f>INDEX($A$3:$A$24,INT((AG218+11)/12))</f>
        <v>Rents/Royalties (362*)</v>
      </c>
    </row>
    <row r="219" spans="33:39" x14ac:dyDescent="0.25">
      <c r="AG219" s="129">
        <v>218</v>
      </c>
      <c r="AH219" s="129" t="s">
        <v>1474</v>
      </c>
      <c r="AI219" s="131">
        <f>DATE(YEAR(INDEX($B$2:$N$24,INT((AG219+11)/12)+1,1)),IF(MOD(AG219,12)&lt;&gt;0,MOD(AG219,12),12),1)</f>
        <v>40940</v>
      </c>
      <c r="AJ219" s="129">
        <f>INDEX($C$3:$N$24,INT((AG219+11)/12),AG219-(12*(INT((AG219+11)/12)-1)))</f>
        <v>0</v>
      </c>
      <c r="AK219" s="129">
        <f t="array" ref="AK219">INDEX($P$3:$P$24,MATCH(AM219&amp;YEAR(AI219),$A$3:$A$24&amp;YEAR($B$3:$B$24),0))</f>
        <v>30000</v>
      </c>
      <c r="AL219" s="129" t="s">
        <v>1476</v>
      </c>
      <c r="AM219" s="129" t="str">
        <f>INDEX($A$3:$A$24,INT((AG219+11)/12))</f>
        <v>Rents/Royalties (362*)</v>
      </c>
    </row>
    <row r="220" spans="33:39" x14ac:dyDescent="0.25">
      <c r="AG220" s="129">
        <v>219</v>
      </c>
      <c r="AH220" s="129" t="s">
        <v>1474</v>
      </c>
      <c r="AI220" s="131">
        <f>DATE(YEAR(INDEX($B$2:$N$24,INT((AG220+11)/12)+1,1)),IF(MOD(AG220,12)&lt;&gt;0,MOD(AG220,12),12),1)</f>
        <v>40969</v>
      </c>
      <c r="AJ220" s="129">
        <f>INDEX($C$3:$N$24,INT((AG220+11)/12),AG220-(12*(INT((AG220+11)/12)-1)))</f>
        <v>12500</v>
      </c>
      <c r="AK220" s="129">
        <f t="array" ref="AK220">INDEX($P$3:$P$24,MATCH(AM220&amp;YEAR(AI220),$A$3:$A$24&amp;YEAR($B$3:$B$24),0))</f>
        <v>30000</v>
      </c>
      <c r="AL220" s="129" t="s">
        <v>1476</v>
      </c>
      <c r="AM220" s="129" t="str">
        <f>INDEX($A$3:$A$24,INT((AG220+11)/12))</f>
        <v>Rents/Royalties (362*)</v>
      </c>
    </row>
    <row r="221" spans="33:39" x14ac:dyDescent="0.25">
      <c r="AG221" s="129">
        <v>220</v>
      </c>
      <c r="AH221" s="129" t="s">
        <v>1474</v>
      </c>
      <c r="AI221" s="131">
        <f>DATE(YEAR(INDEX($B$2:$N$24,INT((AG221+11)/12)+1,1)),IF(MOD(AG221,12)&lt;&gt;0,MOD(AG221,12),12),1)</f>
        <v>41000</v>
      </c>
      <c r="AJ221" s="129">
        <f>INDEX($C$3:$N$24,INT((AG221+11)/12),AG221-(12*(INT((AG221+11)/12)-1)))</f>
        <v>0</v>
      </c>
      <c r="AK221" s="129">
        <f t="array" ref="AK221">INDEX($P$3:$P$24,MATCH(AM221&amp;YEAR(AI221),$A$3:$A$24&amp;YEAR($B$3:$B$24),0))</f>
        <v>30000</v>
      </c>
      <c r="AL221" s="129" t="s">
        <v>1476</v>
      </c>
      <c r="AM221" s="129" t="str">
        <f>INDEX($A$3:$A$24,INT((AG221+11)/12))</f>
        <v>Rents/Royalties (362*)</v>
      </c>
    </row>
    <row r="222" spans="33:39" x14ac:dyDescent="0.25">
      <c r="AG222" s="129">
        <v>221</v>
      </c>
      <c r="AH222" s="129" t="s">
        <v>1474</v>
      </c>
      <c r="AI222" s="131">
        <f>DATE(YEAR(INDEX($B$2:$N$24,INT((AG222+11)/12)+1,1)),IF(MOD(AG222,12)&lt;&gt;0,MOD(AG222,12),12),1)</f>
        <v>41030</v>
      </c>
      <c r="AJ222" s="129">
        <f>INDEX($C$3:$N$24,INT((AG222+11)/12),AG222-(12*(INT((AG222+11)/12)-1)))</f>
        <v>865.11</v>
      </c>
      <c r="AK222" s="129">
        <f t="array" ref="AK222">INDEX($P$3:$P$24,MATCH(AM222&amp;YEAR(AI222),$A$3:$A$24&amp;YEAR($B$3:$B$24),0))</f>
        <v>30000</v>
      </c>
      <c r="AL222" s="129" t="s">
        <v>1476</v>
      </c>
      <c r="AM222" s="129" t="str">
        <f>INDEX($A$3:$A$24,INT((AG222+11)/12))</f>
        <v>Rents/Royalties (362*)</v>
      </c>
    </row>
    <row r="223" spans="33:39" x14ac:dyDescent="0.25">
      <c r="AG223" s="129">
        <v>222</v>
      </c>
      <c r="AH223" s="129" t="s">
        <v>1474</v>
      </c>
      <c r="AI223" s="131">
        <f>DATE(YEAR(INDEX($B$2:$N$24,INT((AG223+11)/12)+1,1)),IF(MOD(AG223,12)&lt;&gt;0,MOD(AG223,12),12),1)</f>
        <v>41061</v>
      </c>
      <c r="AJ223" s="129">
        <f>INDEX($C$3:$N$24,INT((AG223+11)/12),AG223-(12*(INT((AG223+11)/12)-1)))</f>
        <v>338</v>
      </c>
      <c r="AK223" s="129">
        <f t="array" ref="AK223">INDEX($P$3:$P$24,MATCH(AM223&amp;YEAR(AI223),$A$3:$A$24&amp;YEAR($B$3:$B$24),0))</f>
        <v>30000</v>
      </c>
      <c r="AL223" s="129" t="s">
        <v>1476</v>
      </c>
      <c r="AM223" s="129" t="str">
        <f>INDEX($A$3:$A$24,INT((AG223+11)/12))</f>
        <v>Rents/Royalties (362*)</v>
      </c>
    </row>
    <row r="224" spans="33:39" x14ac:dyDescent="0.25">
      <c r="AG224" s="129">
        <v>223</v>
      </c>
      <c r="AH224" s="129" t="s">
        <v>1474</v>
      </c>
      <c r="AI224" s="131">
        <f>DATE(YEAR(INDEX($B$2:$N$24,INT((AG224+11)/12)+1,1)),IF(MOD(AG224,12)&lt;&gt;0,MOD(AG224,12),12),1)</f>
        <v>41091</v>
      </c>
      <c r="AJ224" s="129">
        <f>INDEX($C$3:$N$24,INT((AG224+11)/12),AG224-(12*(INT((AG224+11)/12)-1)))</f>
        <v>114</v>
      </c>
      <c r="AK224" s="129">
        <f t="array" ref="AK224">INDEX($P$3:$P$24,MATCH(AM224&amp;YEAR(AI224),$A$3:$A$24&amp;YEAR($B$3:$B$24),0))</f>
        <v>30000</v>
      </c>
      <c r="AL224" s="129" t="s">
        <v>1476</v>
      </c>
      <c r="AM224" s="129" t="str">
        <f>INDEX($A$3:$A$24,INT((AG224+11)/12))</f>
        <v>Rents/Royalties (362*)</v>
      </c>
    </row>
    <row r="225" spans="33:39" x14ac:dyDescent="0.25">
      <c r="AG225" s="129">
        <v>224</v>
      </c>
      <c r="AH225" s="129" t="s">
        <v>1474</v>
      </c>
      <c r="AI225" s="131">
        <f>DATE(YEAR(INDEX($B$2:$N$24,INT((AG225+11)/12)+1,1)),IF(MOD(AG225,12)&lt;&gt;0,MOD(AG225,12),12),1)</f>
        <v>41122</v>
      </c>
      <c r="AJ225" s="129">
        <f>INDEX($C$3:$N$24,INT((AG225+11)/12),AG225-(12*(INT((AG225+11)/12)-1)))</f>
        <v>6413.5</v>
      </c>
      <c r="AK225" s="129">
        <f t="array" ref="AK225">INDEX($P$3:$P$24,MATCH(AM225&amp;YEAR(AI225),$A$3:$A$24&amp;YEAR($B$3:$B$24),0))</f>
        <v>30000</v>
      </c>
      <c r="AL225" s="129" t="s">
        <v>1476</v>
      </c>
      <c r="AM225" s="129" t="str">
        <f>INDEX($A$3:$A$24,INT((AG225+11)/12))</f>
        <v>Rents/Royalties (362*)</v>
      </c>
    </row>
    <row r="226" spans="33:39" x14ac:dyDescent="0.25">
      <c r="AG226" s="129">
        <v>225</v>
      </c>
      <c r="AH226" s="129" t="s">
        <v>1474</v>
      </c>
      <c r="AI226" s="131">
        <f>DATE(YEAR(INDEX($B$2:$N$24,INT((AG226+11)/12)+1,1)),IF(MOD(AG226,12)&lt;&gt;0,MOD(AG226,12),12),1)</f>
        <v>41153</v>
      </c>
      <c r="AJ226" s="129">
        <f>INDEX($C$3:$N$24,INT((AG226+11)/12),AG226-(12*(INT((AG226+11)/12)-1)))</f>
        <v>-347.93</v>
      </c>
      <c r="AK226" s="129">
        <f t="array" ref="AK226">INDEX($P$3:$P$24,MATCH(AM226&amp;YEAR(AI226),$A$3:$A$24&amp;YEAR($B$3:$B$24),0))</f>
        <v>30000</v>
      </c>
      <c r="AL226" s="129" t="s">
        <v>1476</v>
      </c>
      <c r="AM226" s="129" t="str">
        <f>INDEX($A$3:$A$24,INT((AG226+11)/12))</f>
        <v>Rents/Royalties (362*)</v>
      </c>
    </row>
    <row r="227" spans="33:39" x14ac:dyDescent="0.25">
      <c r="AG227" s="129">
        <v>226</v>
      </c>
      <c r="AH227" s="129" t="s">
        <v>1474</v>
      </c>
      <c r="AI227" s="131">
        <f>DATE(YEAR(INDEX($B$2:$N$24,INT((AG227+11)/12)+1,1)),IF(MOD(AG227,12)&lt;&gt;0,MOD(AG227,12),12),1)</f>
        <v>41183</v>
      </c>
      <c r="AJ227" s="129">
        <f>INDEX($C$3:$N$24,INT((AG227+11)/12),AG227-(12*(INT((AG227+11)/12)-1)))</f>
        <v>16188.72</v>
      </c>
      <c r="AK227" s="129">
        <f t="array" ref="AK227">INDEX($P$3:$P$24,MATCH(AM227&amp;YEAR(AI227),$A$3:$A$24&amp;YEAR($B$3:$B$24),0))</f>
        <v>30000</v>
      </c>
      <c r="AL227" s="129" t="s">
        <v>1476</v>
      </c>
      <c r="AM227" s="129" t="str">
        <f>INDEX($A$3:$A$24,INT((AG227+11)/12))</f>
        <v>Rents/Royalties (362*)</v>
      </c>
    </row>
    <row r="228" spans="33:39" x14ac:dyDescent="0.25">
      <c r="AG228" s="129">
        <v>227</v>
      </c>
      <c r="AH228" s="129" t="s">
        <v>1474</v>
      </c>
      <c r="AI228" s="131">
        <f>DATE(YEAR(INDEX($B$2:$N$24,INT((AG228+11)/12)+1,1)),IF(MOD(AG228,12)&lt;&gt;0,MOD(AG228,12),12),1)</f>
        <v>41214</v>
      </c>
      <c r="AJ228" s="129">
        <f>INDEX($C$3:$N$24,INT((AG228+11)/12),AG228-(12*(INT((AG228+11)/12)-1)))</f>
        <v>23816.28</v>
      </c>
      <c r="AK228" s="129">
        <f t="array" ref="AK228">INDEX($P$3:$P$24,MATCH(AM228&amp;YEAR(AI228),$A$3:$A$24&amp;YEAR($B$3:$B$24),0))</f>
        <v>30000</v>
      </c>
      <c r="AL228" s="129" t="s">
        <v>1476</v>
      </c>
      <c r="AM228" s="129" t="str">
        <f>INDEX($A$3:$A$24,INT((AG228+11)/12))</f>
        <v>Rents/Royalties (362*)</v>
      </c>
    </row>
    <row r="229" spans="33:39" x14ac:dyDescent="0.25">
      <c r="AG229" s="129">
        <v>228</v>
      </c>
      <c r="AH229" s="129" t="s">
        <v>1474</v>
      </c>
      <c r="AI229" s="131">
        <f>DATE(YEAR(INDEX($B$2:$N$24,INT((AG229+11)/12)+1,1)),IF(MOD(AG229,12)&lt;&gt;0,MOD(AG229,12),12),1)</f>
        <v>41244</v>
      </c>
      <c r="AJ229" s="129">
        <f>INDEX($C$3:$N$24,INT((AG229+11)/12),AG229-(12*(INT((AG229+11)/12)-1)))</f>
        <v>14494.4</v>
      </c>
      <c r="AK229" s="129">
        <f t="array" ref="AK229">INDEX($P$3:$P$24,MATCH(AM229&amp;YEAR(AI229),$A$3:$A$24&amp;YEAR($B$3:$B$24),0))</f>
        <v>30000</v>
      </c>
      <c r="AL229" s="129" t="s">
        <v>1476</v>
      </c>
      <c r="AM229" s="129" t="str">
        <f>INDEX($A$3:$A$24,INT((AG229+11)/12))</f>
        <v>Rents/Royalties (362*)</v>
      </c>
    </row>
    <row r="230" spans="33:39" x14ac:dyDescent="0.25">
      <c r="AG230" s="129">
        <v>229</v>
      </c>
      <c r="AH230" s="129" t="s">
        <v>1474</v>
      </c>
      <c r="AI230" s="131">
        <f>DATE(YEAR(INDEX($B$2:$N$24,INT((AG230+11)/12)+1,1)),IF(MOD(AG230,12)&lt;&gt;0,MOD(AG230,12),12),1)</f>
        <v>41275</v>
      </c>
      <c r="AJ230" s="129">
        <f>INDEX($C$3:$N$24,INT((AG230+11)/12),AG230-(12*(INT((AG230+11)/12)-1)))</f>
        <v>-137.19999999999999</v>
      </c>
      <c r="AK230" s="129">
        <f t="array" ref="AK230">INDEX($P$3:$P$24,MATCH(AM230&amp;YEAR(AI230),$A$3:$A$24&amp;YEAR($B$3:$B$24),0))</f>
        <v>35000</v>
      </c>
      <c r="AL230" s="129" t="s">
        <v>1476</v>
      </c>
      <c r="AM230" s="129" t="str">
        <f>INDEX($A$3:$A$24,INT((AG230+11)/12))</f>
        <v>Rents/Royalties (362*)</v>
      </c>
    </row>
    <row r="231" spans="33:39" x14ac:dyDescent="0.25">
      <c r="AG231" s="129">
        <v>230</v>
      </c>
      <c r="AH231" s="129" t="s">
        <v>1474</v>
      </c>
      <c r="AI231" s="131">
        <f>DATE(YEAR(INDEX($B$2:$N$24,INT((AG231+11)/12)+1,1)),IF(MOD(AG231,12)&lt;&gt;0,MOD(AG231,12),12),1)</f>
        <v>41306</v>
      </c>
      <c r="AJ231" s="129">
        <f>INDEX($C$3:$N$24,INT((AG231+11)/12),AG231-(12*(INT((AG231+11)/12)-1)))</f>
        <v>-132.79</v>
      </c>
      <c r="AK231" s="129">
        <f t="array" ref="AK231">INDEX($P$3:$P$24,MATCH(AM231&amp;YEAR(AI231),$A$3:$A$24&amp;YEAR($B$3:$B$24),0))</f>
        <v>35000</v>
      </c>
      <c r="AL231" s="129" t="s">
        <v>1476</v>
      </c>
      <c r="AM231" s="129" t="str">
        <f>INDEX($A$3:$A$24,INT((AG231+11)/12))</f>
        <v>Rents/Royalties (362*)</v>
      </c>
    </row>
    <row r="232" spans="33:39" x14ac:dyDescent="0.25">
      <c r="AG232" s="129">
        <v>231</v>
      </c>
      <c r="AH232" s="129" t="s">
        <v>1474</v>
      </c>
      <c r="AI232" s="131">
        <f>DATE(YEAR(INDEX($B$2:$N$24,INT((AG232+11)/12)+1,1)),IF(MOD(AG232,12)&lt;&gt;0,MOD(AG232,12),12),1)</f>
        <v>41334</v>
      </c>
      <c r="AJ232" s="129">
        <f>INDEX($C$3:$N$24,INT((AG232+11)/12),AG232-(12*(INT((AG232+11)/12)-1)))</f>
        <v>-130.33000000000001</v>
      </c>
      <c r="AK232" s="129">
        <f t="array" ref="AK232">INDEX($P$3:$P$24,MATCH(AM232&amp;YEAR(AI232),$A$3:$A$24&amp;YEAR($B$3:$B$24),0))</f>
        <v>35000</v>
      </c>
      <c r="AL232" s="129" t="s">
        <v>1476</v>
      </c>
      <c r="AM232" s="129" t="str">
        <f>INDEX($A$3:$A$24,INT((AG232+11)/12))</f>
        <v>Rents/Royalties (362*)</v>
      </c>
    </row>
    <row r="233" spans="33:39" x14ac:dyDescent="0.25">
      <c r="AG233" s="129">
        <v>232</v>
      </c>
      <c r="AH233" s="129" t="s">
        <v>1474</v>
      </c>
      <c r="AI233" s="131">
        <f>DATE(YEAR(INDEX($B$2:$N$24,INT((AG233+11)/12)+1,1)),IF(MOD(AG233,12)&lt;&gt;0,MOD(AG233,12),12),1)</f>
        <v>41365</v>
      </c>
      <c r="AJ233" s="129">
        <f>INDEX($C$3:$N$24,INT((AG233+11)/12),AG233-(12*(INT((AG233+11)/12)-1)))</f>
        <v>55896.18</v>
      </c>
      <c r="AK233" s="129">
        <f t="array" ref="AK233">INDEX($P$3:$P$24,MATCH(AM233&amp;YEAR(AI233),$A$3:$A$24&amp;YEAR($B$3:$B$24),0))</f>
        <v>35000</v>
      </c>
      <c r="AL233" s="129" t="s">
        <v>1476</v>
      </c>
      <c r="AM233" s="129" t="str">
        <f>INDEX($A$3:$A$24,INT((AG233+11)/12))</f>
        <v>Rents/Royalties (362*)</v>
      </c>
    </row>
    <row r="234" spans="33:39" x14ac:dyDescent="0.25">
      <c r="AG234" s="129">
        <v>233</v>
      </c>
      <c r="AH234" s="129" t="s">
        <v>1474</v>
      </c>
      <c r="AI234" s="131">
        <f>DATE(YEAR(INDEX($B$2:$N$24,INT((AG234+11)/12)+1,1)),IF(MOD(AG234,12)&lt;&gt;0,MOD(AG234,12),12),1)</f>
        <v>41395</v>
      </c>
      <c r="AJ234" s="129">
        <f>INDEX($C$3:$N$24,INT((AG234+11)/12),AG234-(12*(INT((AG234+11)/12)-1)))</f>
        <v>0</v>
      </c>
      <c r="AK234" s="129">
        <f t="array" ref="AK234">INDEX($P$3:$P$24,MATCH(AM234&amp;YEAR(AI234),$A$3:$A$24&amp;YEAR($B$3:$B$24),0))</f>
        <v>35000</v>
      </c>
      <c r="AL234" s="129" t="s">
        <v>1476</v>
      </c>
      <c r="AM234" s="129" t="str">
        <f>INDEX($A$3:$A$24,INT((AG234+11)/12))</f>
        <v>Rents/Royalties (362*)</v>
      </c>
    </row>
    <row r="235" spans="33:39" x14ac:dyDescent="0.25">
      <c r="AG235" s="129">
        <v>234</v>
      </c>
      <c r="AH235" s="129" t="s">
        <v>1474</v>
      </c>
      <c r="AI235" s="131">
        <f>DATE(YEAR(INDEX($B$2:$N$24,INT((AG235+11)/12)+1,1)),IF(MOD(AG235,12)&lt;&gt;0,MOD(AG235,12),12),1)</f>
        <v>41426</v>
      </c>
      <c r="AJ235" s="129">
        <f>INDEX($C$3:$N$24,INT((AG235+11)/12),AG235-(12*(INT((AG235+11)/12)-1)))</f>
        <v>0</v>
      </c>
      <c r="AK235" s="129">
        <f t="array" ref="AK235">INDEX($P$3:$P$24,MATCH(AM235&amp;YEAR(AI235),$A$3:$A$24&amp;YEAR($B$3:$B$24),0))</f>
        <v>35000</v>
      </c>
      <c r="AL235" s="129" t="s">
        <v>1476</v>
      </c>
      <c r="AM235" s="129" t="str">
        <f>INDEX($A$3:$A$24,INT((AG235+11)/12))</f>
        <v>Rents/Royalties (362*)</v>
      </c>
    </row>
    <row r="236" spans="33:39" x14ac:dyDescent="0.25">
      <c r="AG236" s="129">
        <v>235</v>
      </c>
      <c r="AH236" s="129" t="s">
        <v>1474</v>
      </c>
      <c r="AI236" s="131">
        <f>DATE(YEAR(INDEX($B$2:$N$24,INT((AG236+11)/12)+1,1)),IF(MOD(AG236,12)&lt;&gt;0,MOD(AG236,12),12),1)</f>
        <v>41456</v>
      </c>
      <c r="AJ236" s="129">
        <f>INDEX($C$3:$N$24,INT((AG236+11)/12),AG236-(12*(INT((AG236+11)/12)-1)))</f>
        <v>0</v>
      </c>
      <c r="AK236" s="129">
        <f t="array" ref="AK236">INDEX($P$3:$P$24,MATCH(AM236&amp;YEAR(AI236),$A$3:$A$24&amp;YEAR($B$3:$B$24),0))</f>
        <v>35000</v>
      </c>
      <c r="AL236" s="129" t="s">
        <v>1476</v>
      </c>
      <c r="AM236" s="129" t="str">
        <f>INDEX($A$3:$A$24,INT((AG236+11)/12))</f>
        <v>Rents/Royalties (362*)</v>
      </c>
    </row>
    <row r="237" spans="33:39" x14ac:dyDescent="0.25">
      <c r="AG237" s="129">
        <v>236</v>
      </c>
      <c r="AH237" s="129" t="s">
        <v>1474</v>
      </c>
      <c r="AI237" s="131">
        <f>DATE(YEAR(INDEX($B$2:$N$24,INT((AG237+11)/12)+1,1)),IF(MOD(AG237,12)&lt;&gt;0,MOD(AG237,12),12),1)</f>
        <v>41487</v>
      </c>
      <c r="AJ237" s="129">
        <f>INDEX($C$3:$N$24,INT((AG237+11)/12),AG237-(12*(INT((AG237+11)/12)-1)))</f>
        <v>0</v>
      </c>
      <c r="AK237" s="129">
        <f t="array" ref="AK237">INDEX($P$3:$P$24,MATCH(AM237&amp;YEAR(AI237),$A$3:$A$24&amp;YEAR($B$3:$B$24),0))</f>
        <v>35000</v>
      </c>
      <c r="AL237" s="129" t="s">
        <v>1476</v>
      </c>
      <c r="AM237" s="129" t="str">
        <f>INDEX($A$3:$A$24,INT((AG237+11)/12))</f>
        <v>Rents/Royalties (362*)</v>
      </c>
    </row>
    <row r="238" spans="33:39" x14ac:dyDescent="0.25">
      <c r="AG238" s="129">
        <v>237</v>
      </c>
      <c r="AH238" s="129" t="s">
        <v>1474</v>
      </c>
      <c r="AI238" s="131">
        <f>DATE(YEAR(INDEX($B$2:$N$24,INT((AG238+11)/12)+1,1)),IF(MOD(AG238,12)&lt;&gt;0,MOD(AG238,12),12),1)</f>
        <v>41518</v>
      </c>
      <c r="AJ238" s="129">
        <f>INDEX($C$3:$N$24,INT((AG238+11)/12),AG238-(12*(INT((AG238+11)/12)-1)))</f>
        <v>0</v>
      </c>
      <c r="AK238" s="129">
        <f t="array" ref="AK238">INDEX($P$3:$P$24,MATCH(AM238&amp;YEAR(AI238),$A$3:$A$24&amp;YEAR($B$3:$B$24),0))</f>
        <v>35000</v>
      </c>
      <c r="AL238" s="129" t="s">
        <v>1476</v>
      </c>
      <c r="AM238" s="129" t="str">
        <f>INDEX($A$3:$A$24,INT((AG238+11)/12))</f>
        <v>Rents/Royalties (362*)</v>
      </c>
    </row>
    <row r="239" spans="33:39" x14ac:dyDescent="0.25">
      <c r="AG239" s="129">
        <v>238</v>
      </c>
      <c r="AH239" s="129" t="s">
        <v>1474</v>
      </c>
      <c r="AI239" s="131">
        <f>DATE(YEAR(INDEX($B$2:$N$24,INT((AG239+11)/12)+1,1)),IF(MOD(AG239,12)&lt;&gt;0,MOD(AG239,12),12),1)</f>
        <v>41548</v>
      </c>
      <c r="AJ239" s="129">
        <f>INDEX($C$3:$N$24,INT((AG239+11)/12),AG239-(12*(INT((AG239+11)/12)-1)))</f>
        <v>0</v>
      </c>
      <c r="AK239" s="129">
        <f t="array" ref="AK239">INDEX($P$3:$P$24,MATCH(AM239&amp;YEAR(AI239),$A$3:$A$24&amp;YEAR($B$3:$B$24),0))</f>
        <v>35000</v>
      </c>
      <c r="AL239" s="129" t="s">
        <v>1476</v>
      </c>
      <c r="AM239" s="129" t="str">
        <f>INDEX($A$3:$A$24,INT((AG239+11)/12))</f>
        <v>Rents/Royalties (362*)</v>
      </c>
    </row>
    <row r="240" spans="33:39" x14ac:dyDescent="0.25">
      <c r="AG240" s="129">
        <v>239</v>
      </c>
      <c r="AH240" s="129" t="s">
        <v>1474</v>
      </c>
      <c r="AI240" s="131">
        <f>DATE(YEAR(INDEX($B$2:$N$24,INT((AG240+11)/12)+1,1)),IF(MOD(AG240,12)&lt;&gt;0,MOD(AG240,12),12),1)</f>
        <v>41579</v>
      </c>
      <c r="AJ240" s="129">
        <f>INDEX($C$3:$N$24,INT((AG240+11)/12),AG240-(12*(INT((AG240+11)/12)-1)))</f>
        <v>0</v>
      </c>
      <c r="AK240" s="129">
        <f t="array" ref="AK240">INDEX($P$3:$P$24,MATCH(AM240&amp;YEAR(AI240),$A$3:$A$24&amp;YEAR($B$3:$B$24),0))</f>
        <v>35000</v>
      </c>
      <c r="AL240" s="129" t="s">
        <v>1476</v>
      </c>
      <c r="AM240" s="129" t="str">
        <f>INDEX($A$3:$A$24,INT((AG240+11)/12))</f>
        <v>Rents/Royalties (362*)</v>
      </c>
    </row>
    <row r="241" spans="33:39" x14ac:dyDescent="0.25">
      <c r="AG241" s="129">
        <v>240</v>
      </c>
      <c r="AH241" s="129" t="s">
        <v>1474</v>
      </c>
      <c r="AI241" s="131">
        <f>DATE(YEAR(INDEX($B$2:$N$24,INT((AG241+11)/12)+1,1)),IF(MOD(AG241,12)&lt;&gt;0,MOD(AG241,12),12),1)</f>
        <v>41609</v>
      </c>
      <c r="AJ241" s="129">
        <f>INDEX($C$3:$N$24,INT((AG241+11)/12),AG241-(12*(INT((AG241+11)/12)-1)))</f>
        <v>0</v>
      </c>
      <c r="AK241" s="129">
        <f t="array" ref="AK241">INDEX($P$3:$P$24,MATCH(AM241&amp;YEAR(AI241),$A$3:$A$24&amp;YEAR($B$3:$B$24),0))</f>
        <v>35000</v>
      </c>
      <c r="AL241" s="129" t="s">
        <v>1476</v>
      </c>
      <c r="AM241" s="129" t="str">
        <f>INDEX($A$3:$A$24,INT((AG241+11)/12))</f>
        <v>Rents/Royalties (362*)</v>
      </c>
    </row>
    <row r="242" spans="33:39" x14ac:dyDescent="0.25">
      <c r="AG242" s="129">
        <v>241</v>
      </c>
      <c r="AH242" s="129" t="s">
        <v>1474</v>
      </c>
      <c r="AI242" s="131">
        <f>DATE(YEAR(INDEX($B$2:$N$24,INT((AG242+11)/12)+1,1)),IF(MOD(AG242,12)&lt;&gt;0,MOD(AG242,12),12),1)</f>
        <v>40909</v>
      </c>
      <c r="AJ242" s="129">
        <f>INDEX($C$3:$N$24,INT((AG242+11)/12),AG242-(12*(INT((AG242+11)/12)-1)))</f>
        <v>0</v>
      </c>
      <c r="AK242" s="129">
        <f t="array" ref="AK242">INDEX($P$3:$P$24,MATCH(AM242&amp;YEAR(AI242),$A$3:$A$24&amp;YEAR($B$3:$B$24),0))</f>
        <v>21934381</v>
      </c>
      <c r="AL242" s="129" t="s">
        <v>1476</v>
      </c>
      <c r="AM242" s="129" t="str">
        <f>INDEX($A$3:$A$24,INT((AG242+11)/12))</f>
        <v>Sale of Land (390-**)</v>
      </c>
    </row>
    <row r="243" spans="33:39" x14ac:dyDescent="0.25">
      <c r="AG243" s="129">
        <v>242</v>
      </c>
      <c r="AH243" s="129" t="s">
        <v>1474</v>
      </c>
      <c r="AI243" s="131">
        <f>DATE(YEAR(INDEX($B$2:$N$24,INT((AG243+11)/12)+1,1)),IF(MOD(AG243,12)&lt;&gt;0,MOD(AG243,12),12),1)</f>
        <v>40940</v>
      </c>
      <c r="AJ243" s="129">
        <f>INDEX($C$3:$N$24,INT((AG243+11)/12),AG243-(12*(INT((AG243+11)/12)-1)))</f>
        <v>0</v>
      </c>
      <c r="AK243" s="129">
        <f t="array" ref="AK243">INDEX($P$3:$P$24,MATCH(AM243&amp;YEAR(AI243),$A$3:$A$24&amp;YEAR($B$3:$B$24),0))</f>
        <v>21934381</v>
      </c>
      <c r="AL243" s="129" t="s">
        <v>1476</v>
      </c>
      <c r="AM243" s="129" t="str">
        <f>INDEX($A$3:$A$24,INT((AG243+11)/12))</f>
        <v>Sale of Land (390-**)</v>
      </c>
    </row>
    <row r="244" spans="33:39" x14ac:dyDescent="0.25">
      <c r="AG244" s="129">
        <v>243</v>
      </c>
      <c r="AH244" s="129" t="s">
        <v>1474</v>
      </c>
      <c r="AI244" s="131">
        <f>DATE(YEAR(INDEX($B$2:$N$24,INT((AG244+11)/12)+1,1)),IF(MOD(AG244,12)&lt;&gt;0,MOD(AG244,12),12),1)</f>
        <v>40969</v>
      </c>
      <c r="AJ244" s="129">
        <f>INDEX($C$3:$N$24,INT((AG244+11)/12),AG244-(12*(INT((AG244+11)/12)-1)))</f>
        <v>0</v>
      </c>
      <c r="AK244" s="129">
        <f t="array" ref="AK244">INDEX($P$3:$P$24,MATCH(AM244&amp;YEAR(AI244),$A$3:$A$24&amp;YEAR($B$3:$B$24),0))</f>
        <v>21934381</v>
      </c>
      <c r="AL244" s="129" t="s">
        <v>1476</v>
      </c>
      <c r="AM244" s="129" t="str">
        <f>INDEX($A$3:$A$24,INT((AG244+11)/12))</f>
        <v>Sale of Land (390-**)</v>
      </c>
    </row>
    <row r="245" spans="33:39" x14ac:dyDescent="0.25">
      <c r="AG245" s="129">
        <v>244</v>
      </c>
      <c r="AH245" s="129" t="s">
        <v>1474</v>
      </c>
      <c r="AI245" s="131">
        <f>DATE(YEAR(INDEX($B$2:$N$24,INT((AG245+11)/12)+1,1)),IF(MOD(AG245,12)&lt;&gt;0,MOD(AG245,12),12),1)</f>
        <v>41000</v>
      </c>
      <c r="AJ245" s="129">
        <f>INDEX($C$3:$N$24,INT((AG245+11)/12),AG245-(12*(INT((AG245+11)/12)-1)))</f>
        <v>0</v>
      </c>
      <c r="AK245" s="129">
        <f t="array" ref="AK245">INDEX($P$3:$P$24,MATCH(AM245&amp;YEAR(AI245),$A$3:$A$24&amp;YEAR($B$3:$B$24),0))</f>
        <v>21934381</v>
      </c>
      <c r="AL245" s="129" t="s">
        <v>1476</v>
      </c>
      <c r="AM245" s="129" t="str">
        <f>INDEX($A$3:$A$24,INT((AG245+11)/12))</f>
        <v>Sale of Land (390-**)</v>
      </c>
    </row>
    <row r="246" spans="33:39" x14ac:dyDescent="0.25">
      <c r="AG246" s="129">
        <v>245</v>
      </c>
      <c r="AH246" s="129" t="s">
        <v>1474</v>
      </c>
      <c r="AI246" s="131">
        <f>DATE(YEAR(INDEX($B$2:$N$24,INT((AG246+11)/12)+1,1)),IF(MOD(AG246,12)&lt;&gt;0,MOD(AG246,12),12),1)</f>
        <v>41030</v>
      </c>
      <c r="AJ246" s="129">
        <f>INDEX($C$3:$N$24,INT((AG246+11)/12),AG246-(12*(INT((AG246+11)/12)-1)))</f>
        <v>0</v>
      </c>
      <c r="AK246" s="129">
        <f t="array" ref="AK246">INDEX($P$3:$P$24,MATCH(AM246&amp;YEAR(AI246),$A$3:$A$24&amp;YEAR($B$3:$B$24),0))</f>
        <v>21934381</v>
      </c>
      <c r="AL246" s="129" t="s">
        <v>1476</v>
      </c>
      <c r="AM246" s="129" t="str">
        <f>INDEX($A$3:$A$24,INT((AG246+11)/12))</f>
        <v>Sale of Land (390-**)</v>
      </c>
    </row>
    <row r="247" spans="33:39" x14ac:dyDescent="0.25">
      <c r="AG247" s="129">
        <v>246</v>
      </c>
      <c r="AH247" s="129" t="s">
        <v>1474</v>
      </c>
      <c r="AI247" s="131">
        <f>DATE(YEAR(INDEX($B$2:$N$24,INT((AG247+11)/12)+1,1)),IF(MOD(AG247,12)&lt;&gt;0,MOD(AG247,12),12),1)</f>
        <v>41061</v>
      </c>
      <c r="AJ247" s="129">
        <f>INDEX($C$3:$N$24,INT((AG247+11)/12),AG247-(12*(INT((AG247+11)/12)-1)))</f>
        <v>0</v>
      </c>
      <c r="AK247" s="129">
        <f t="array" ref="AK247">INDEX($P$3:$P$24,MATCH(AM247&amp;YEAR(AI247),$A$3:$A$24&amp;YEAR($B$3:$B$24),0))</f>
        <v>21934381</v>
      </c>
      <c r="AL247" s="129" t="s">
        <v>1476</v>
      </c>
      <c r="AM247" s="129" t="str">
        <f>INDEX($A$3:$A$24,INT((AG247+11)/12))</f>
        <v>Sale of Land (390-**)</v>
      </c>
    </row>
    <row r="248" spans="33:39" x14ac:dyDescent="0.25">
      <c r="AG248" s="129">
        <v>247</v>
      </c>
      <c r="AH248" s="129" t="s">
        <v>1474</v>
      </c>
      <c r="AI248" s="131">
        <f>DATE(YEAR(INDEX($B$2:$N$24,INT((AG248+11)/12)+1,1)),IF(MOD(AG248,12)&lt;&gt;0,MOD(AG248,12),12),1)</f>
        <v>41091</v>
      </c>
      <c r="AJ248" s="129">
        <f>INDEX($C$3:$N$24,INT((AG248+11)/12),AG248-(12*(INT((AG248+11)/12)-1)))</f>
        <v>0</v>
      </c>
      <c r="AK248" s="129">
        <f t="array" ref="AK248">INDEX($P$3:$P$24,MATCH(AM248&amp;YEAR(AI248),$A$3:$A$24&amp;YEAR($B$3:$B$24),0))</f>
        <v>21934381</v>
      </c>
      <c r="AL248" s="129" t="s">
        <v>1476</v>
      </c>
      <c r="AM248" s="129" t="str">
        <f>INDEX($A$3:$A$24,INT((AG248+11)/12))</f>
        <v>Sale of Land (390-**)</v>
      </c>
    </row>
    <row r="249" spans="33:39" x14ac:dyDescent="0.25">
      <c r="AG249" s="129">
        <v>248</v>
      </c>
      <c r="AH249" s="129" t="s">
        <v>1474</v>
      </c>
      <c r="AI249" s="131">
        <f>DATE(YEAR(INDEX($B$2:$N$24,INT((AG249+11)/12)+1,1)),IF(MOD(AG249,12)&lt;&gt;0,MOD(AG249,12),12),1)</f>
        <v>41122</v>
      </c>
      <c r="AJ249" s="129">
        <f>INDEX($C$3:$N$24,INT((AG249+11)/12),AG249-(12*(INT((AG249+11)/12)-1)))</f>
        <v>0</v>
      </c>
      <c r="AK249" s="129">
        <f t="array" ref="AK249">INDEX($P$3:$P$24,MATCH(AM249&amp;YEAR(AI249),$A$3:$A$24&amp;YEAR($B$3:$B$24),0))</f>
        <v>21934381</v>
      </c>
      <c r="AL249" s="129" t="s">
        <v>1476</v>
      </c>
      <c r="AM249" s="129" t="str">
        <f>INDEX($A$3:$A$24,INT((AG249+11)/12))</f>
        <v>Sale of Land (390-**)</v>
      </c>
    </row>
    <row r="250" spans="33:39" x14ac:dyDescent="0.25">
      <c r="AG250" s="129">
        <v>249</v>
      </c>
      <c r="AH250" s="129" t="s">
        <v>1474</v>
      </c>
      <c r="AI250" s="131">
        <f>DATE(YEAR(INDEX($B$2:$N$24,INT((AG250+11)/12)+1,1)),IF(MOD(AG250,12)&lt;&gt;0,MOD(AG250,12),12),1)</f>
        <v>41153</v>
      </c>
      <c r="AJ250" s="129">
        <f>INDEX($C$3:$N$24,INT((AG250+11)/12),AG250-(12*(INT((AG250+11)/12)-1)))</f>
        <v>0</v>
      </c>
      <c r="AK250" s="129">
        <f t="array" ref="AK250">INDEX($P$3:$P$24,MATCH(AM250&amp;YEAR(AI250),$A$3:$A$24&amp;YEAR($B$3:$B$24),0))</f>
        <v>21934381</v>
      </c>
      <c r="AL250" s="129" t="s">
        <v>1476</v>
      </c>
      <c r="AM250" s="129" t="str">
        <f>INDEX($A$3:$A$24,INT((AG250+11)/12))</f>
        <v>Sale of Land (390-**)</v>
      </c>
    </row>
    <row r="251" spans="33:39" x14ac:dyDescent="0.25">
      <c r="AG251" s="129">
        <v>250</v>
      </c>
      <c r="AH251" s="129" t="s">
        <v>1474</v>
      </c>
      <c r="AI251" s="131">
        <f>DATE(YEAR(INDEX($B$2:$N$24,INT((AG251+11)/12)+1,1)),IF(MOD(AG251,12)&lt;&gt;0,MOD(AG251,12),12),1)</f>
        <v>41183</v>
      </c>
      <c r="AJ251" s="129">
        <f>INDEX($C$3:$N$24,INT((AG251+11)/12),AG251-(12*(INT((AG251+11)/12)-1)))</f>
        <v>29947173.149999999</v>
      </c>
      <c r="AK251" s="129">
        <f t="array" ref="AK251">INDEX($P$3:$P$24,MATCH(AM251&amp;YEAR(AI251),$A$3:$A$24&amp;YEAR($B$3:$B$24),0))</f>
        <v>21934381</v>
      </c>
      <c r="AL251" s="129" t="s">
        <v>1476</v>
      </c>
      <c r="AM251" s="129" t="str">
        <f>INDEX($A$3:$A$24,INT((AG251+11)/12))</f>
        <v>Sale of Land (390-**)</v>
      </c>
    </row>
    <row r="252" spans="33:39" x14ac:dyDescent="0.25">
      <c r="AG252" s="129">
        <v>251</v>
      </c>
      <c r="AH252" s="129" t="s">
        <v>1474</v>
      </c>
      <c r="AI252" s="131">
        <f>DATE(YEAR(INDEX($B$2:$N$24,INT((AG252+11)/12)+1,1)),IF(MOD(AG252,12)&lt;&gt;0,MOD(AG252,12),12),1)</f>
        <v>41214</v>
      </c>
      <c r="AJ252" s="129">
        <f>INDEX($C$3:$N$24,INT((AG252+11)/12),AG252-(12*(INT((AG252+11)/12)-1)))</f>
        <v>0</v>
      </c>
      <c r="AK252" s="129">
        <f t="array" ref="AK252">INDEX($P$3:$P$24,MATCH(AM252&amp;YEAR(AI252),$A$3:$A$24&amp;YEAR($B$3:$B$24),0))</f>
        <v>21934381</v>
      </c>
      <c r="AL252" s="129" t="s">
        <v>1476</v>
      </c>
      <c r="AM252" s="129" t="str">
        <f>INDEX($A$3:$A$24,INT((AG252+11)/12))</f>
        <v>Sale of Land (390-**)</v>
      </c>
    </row>
    <row r="253" spans="33:39" x14ac:dyDescent="0.25">
      <c r="AG253" s="129">
        <v>252</v>
      </c>
      <c r="AH253" s="129" t="s">
        <v>1474</v>
      </c>
      <c r="AI253" s="131">
        <f>DATE(YEAR(INDEX($B$2:$N$24,INT((AG253+11)/12)+1,1)),IF(MOD(AG253,12)&lt;&gt;0,MOD(AG253,12),12),1)</f>
        <v>41244</v>
      </c>
      <c r="AJ253" s="129">
        <f>INDEX($C$3:$N$24,INT((AG253+11)/12),AG253-(12*(INT((AG253+11)/12)-1)))</f>
        <v>0</v>
      </c>
      <c r="AK253" s="129">
        <f t="array" ref="AK253">INDEX($P$3:$P$24,MATCH(AM253&amp;YEAR(AI253),$A$3:$A$24&amp;YEAR($B$3:$B$24),0))</f>
        <v>21934381</v>
      </c>
      <c r="AL253" s="129" t="s">
        <v>1476</v>
      </c>
      <c r="AM253" s="129" t="str">
        <f>INDEX($A$3:$A$24,INT((AG253+11)/12))</f>
        <v>Sale of Land (390-**)</v>
      </c>
    </row>
    <row r="254" spans="33:39" x14ac:dyDescent="0.25">
      <c r="AG254" s="129">
        <v>253</v>
      </c>
      <c r="AH254" s="129" t="s">
        <v>1474</v>
      </c>
      <c r="AI254" s="131">
        <f>DATE(YEAR(INDEX($B$2:$N$24,INT((AG254+11)/12)+1,1)),IF(MOD(AG254,12)&lt;&gt;0,MOD(AG254,12),12),1)</f>
        <v>41275</v>
      </c>
      <c r="AJ254" s="129">
        <f>INDEX($C$3:$N$24,INT((AG254+11)/12),AG254-(12*(INT((AG254+11)/12)-1)))</f>
        <v>0</v>
      </c>
      <c r="AK254" s="129">
        <f t="array" ref="AK254">INDEX($P$3:$P$24,MATCH(AM254&amp;YEAR(AI254),$A$3:$A$24&amp;YEAR($B$3:$B$24),0))</f>
        <v>0</v>
      </c>
      <c r="AL254" s="129" t="s">
        <v>1476</v>
      </c>
      <c r="AM254" s="129" t="str">
        <f>INDEX($A$3:$A$24,INT((AG254+11)/12))</f>
        <v>Sale of Land (390-**)</v>
      </c>
    </row>
    <row r="255" spans="33:39" x14ac:dyDescent="0.25">
      <c r="AG255" s="129">
        <v>254</v>
      </c>
      <c r="AH255" s="129" t="s">
        <v>1474</v>
      </c>
      <c r="AI255" s="131">
        <f>DATE(YEAR(INDEX($B$2:$N$24,INT((AG255+11)/12)+1,1)),IF(MOD(AG255,12)&lt;&gt;0,MOD(AG255,12),12),1)</f>
        <v>41306</v>
      </c>
      <c r="AJ255" s="129">
        <f>INDEX($C$3:$N$24,INT((AG255+11)/12),AG255-(12*(INT((AG255+11)/12)-1)))</f>
        <v>0</v>
      </c>
      <c r="AK255" s="129">
        <f t="array" ref="AK255">INDEX($P$3:$P$24,MATCH(AM255&amp;YEAR(AI255),$A$3:$A$24&amp;YEAR($B$3:$B$24),0))</f>
        <v>0</v>
      </c>
      <c r="AL255" s="129" t="s">
        <v>1476</v>
      </c>
      <c r="AM255" s="129" t="str">
        <f>INDEX($A$3:$A$24,INT((AG255+11)/12))</f>
        <v>Sale of Land (390-**)</v>
      </c>
    </row>
    <row r="256" spans="33:39" x14ac:dyDescent="0.25">
      <c r="AG256" s="129">
        <v>255</v>
      </c>
      <c r="AH256" s="129" t="s">
        <v>1474</v>
      </c>
      <c r="AI256" s="131">
        <f>DATE(YEAR(INDEX($B$2:$N$24,INT((AG256+11)/12)+1,1)),IF(MOD(AG256,12)&lt;&gt;0,MOD(AG256,12),12),1)</f>
        <v>41334</v>
      </c>
      <c r="AJ256" s="129">
        <f>INDEX($C$3:$N$24,INT((AG256+11)/12),AG256-(12*(INT((AG256+11)/12)-1)))</f>
        <v>0</v>
      </c>
      <c r="AK256" s="129">
        <f t="array" ref="AK256">INDEX($P$3:$P$24,MATCH(AM256&amp;YEAR(AI256),$A$3:$A$24&amp;YEAR($B$3:$B$24),0))</f>
        <v>0</v>
      </c>
      <c r="AL256" s="129" t="s">
        <v>1476</v>
      </c>
      <c r="AM256" s="129" t="str">
        <f>INDEX($A$3:$A$24,INT((AG256+11)/12))</f>
        <v>Sale of Land (390-**)</v>
      </c>
    </row>
    <row r="257" spans="32:39" x14ac:dyDescent="0.25">
      <c r="AG257" s="129">
        <v>256</v>
      </c>
      <c r="AH257" s="129" t="s">
        <v>1474</v>
      </c>
      <c r="AI257" s="131">
        <f>DATE(YEAR(INDEX($B$2:$N$24,INT((AG257+11)/12)+1,1)),IF(MOD(AG257,12)&lt;&gt;0,MOD(AG257,12),12),1)</f>
        <v>41365</v>
      </c>
      <c r="AJ257" s="129">
        <f>INDEX($C$3:$N$24,INT((AG257+11)/12),AG257-(12*(INT((AG257+11)/12)-1)))</f>
        <v>0</v>
      </c>
      <c r="AK257" s="129">
        <f t="array" ref="AK257">INDEX($P$3:$P$24,MATCH(AM257&amp;YEAR(AI257),$A$3:$A$24&amp;YEAR($B$3:$B$24),0))</f>
        <v>0</v>
      </c>
      <c r="AL257" s="129" t="s">
        <v>1476</v>
      </c>
      <c r="AM257" s="129" t="str">
        <f>INDEX($A$3:$A$24,INT((AG257+11)/12))</f>
        <v>Sale of Land (390-**)</v>
      </c>
    </row>
    <row r="258" spans="32:39" x14ac:dyDescent="0.25">
      <c r="AG258" s="129">
        <v>257</v>
      </c>
      <c r="AH258" s="129" t="s">
        <v>1474</v>
      </c>
      <c r="AI258" s="131">
        <f>DATE(YEAR(INDEX($B$2:$N$24,INT((AG258+11)/12)+1,1)),IF(MOD(AG258,12)&lt;&gt;0,MOD(AG258,12),12),1)</f>
        <v>41395</v>
      </c>
      <c r="AJ258" s="129">
        <f>INDEX($C$3:$N$24,INT((AG258+11)/12),AG258-(12*(INT((AG258+11)/12)-1)))</f>
        <v>0</v>
      </c>
      <c r="AK258" s="129">
        <f t="array" ref="AK258">INDEX($P$3:$P$24,MATCH(AM258&amp;YEAR(AI258),$A$3:$A$24&amp;YEAR($B$3:$B$24),0))</f>
        <v>0</v>
      </c>
      <c r="AL258" s="129" t="s">
        <v>1476</v>
      </c>
      <c r="AM258" s="129" t="str">
        <f>INDEX($A$3:$A$24,INT((AG258+11)/12))</f>
        <v>Sale of Land (390-**)</v>
      </c>
    </row>
    <row r="259" spans="32:39" x14ac:dyDescent="0.25">
      <c r="AG259" s="129">
        <v>258</v>
      </c>
      <c r="AH259" s="129" t="s">
        <v>1474</v>
      </c>
      <c r="AI259" s="131">
        <f>DATE(YEAR(INDEX($B$2:$N$24,INT((AG259+11)/12)+1,1)),IF(MOD(AG259,12)&lt;&gt;0,MOD(AG259,12),12),1)</f>
        <v>41426</v>
      </c>
      <c r="AJ259" s="129">
        <f>INDEX($C$3:$N$24,INT((AG259+11)/12),AG259-(12*(INT((AG259+11)/12)-1)))</f>
        <v>0</v>
      </c>
      <c r="AK259" s="129">
        <f t="array" ref="AK259">INDEX($P$3:$P$24,MATCH(AM259&amp;YEAR(AI259),$A$3:$A$24&amp;YEAR($B$3:$B$24),0))</f>
        <v>0</v>
      </c>
      <c r="AL259" s="129" t="s">
        <v>1476</v>
      </c>
      <c r="AM259" s="129" t="str">
        <f>INDEX($A$3:$A$24,INT((AG259+11)/12))</f>
        <v>Sale of Land (390-**)</v>
      </c>
    </row>
    <row r="260" spans="32:39" x14ac:dyDescent="0.25">
      <c r="AG260" s="129">
        <v>259</v>
      </c>
      <c r="AH260" s="129" t="s">
        <v>1474</v>
      </c>
      <c r="AI260" s="131">
        <f>DATE(YEAR(INDEX($B$2:$N$24,INT((AG260+11)/12)+1,1)),IF(MOD(AG260,12)&lt;&gt;0,MOD(AG260,12),12),1)</f>
        <v>41456</v>
      </c>
      <c r="AJ260" s="129">
        <f>INDEX($C$3:$N$24,INT((AG260+11)/12),AG260-(12*(INT((AG260+11)/12)-1)))</f>
        <v>0</v>
      </c>
      <c r="AK260" s="129">
        <f t="array" ref="AK260">INDEX($P$3:$P$24,MATCH(AM260&amp;YEAR(AI260),$A$3:$A$24&amp;YEAR($B$3:$B$24),0))</f>
        <v>0</v>
      </c>
      <c r="AL260" s="129" t="s">
        <v>1476</v>
      </c>
      <c r="AM260" s="129" t="str">
        <f>INDEX($A$3:$A$24,INT((AG260+11)/12))</f>
        <v>Sale of Land (390-**)</v>
      </c>
    </row>
    <row r="261" spans="32:39" x14ac:dyDescent="0.25">
      <c r="AG261" s="129">
        <v>260</v>
      </c>
      <c r="AH261" s="129" t="s">
        <v>1474</v>
      </c>
      <c r="AI261" s="131">
        <f>DATE(YEAR(INDEX($B$2:$N$24,INT((AG261+11)/12)+1,1)),IF(MOD(AG261,12)&lt;&gt;0,MOD(AG261,12),12),1)</f>
        <v>41487</v>
      </c>
      <c r="AJ261" s="129">
        <f>INDEX($C$3:$N$24,INT((AG261+11)/12),AG261-(12*(INT((AG261+11)/12)-1)))</f>
        <v>0</v>
      </c>
      <c r="AK261" s="129">
        <f t="array" ref="AK261">INDEX($P$3:$P$24,MATCH(AM261&amp;YEAR(AI261),$A$3:$A$24&amp;YEAR($B$3:$B$24),0))</f>
        <v>0</v>
      </c>
      <c r="AL261" s="129" t="s">
        <v>1476</v>
      </c>
      <c r="AM261" s="129" t="str">
        <f>INDEX($A$3:$A$24,INT((AG261+11)/12))</f>
        <v>Sale of Land (390-**)</v>
      </c>
    </row>
    <row r="262" spans="32:39" x14ac:dyDescent="0.25">
      <c r="AG262" s="129">
        <v>261</v>
      </c>
      <c r="AH262" s="129" t="s">
        <v>1474</v>
      </c>
      <c r="AI262" s="131">
        <f>DATE(YEAR(INDEX($B$2:$N$24,INT((AG262+11)/12)+1,1)),IF(MOD(AG262,12)&lt;&gt;0,MOD(AG262,12),12),1)</f>
        <v>41518</v>
      </c>
      <c r="AJ262" s="129">
        <f>INDEX($C$3:$N$24,INT((AG262+11)/12),AG262-(12*(INT((AG262+11)/12)-1)))</f>
        <v>0</v>
      </c>
      <c r="AK262" s="129">
        <f t="array" ref="AK262">INDEX($P$3:$P$24,MATCH(AM262&amp;YEAR(AI262),$A$3:$A$24&amp;YEAR($B$3:$B$24),0))</f>
        <v>0</v>
      </c>
      <c r="AL262" s="129" t="s">
        <v>1476</v>
      </c>
      <c r="AM262" s="129" t="str">
        <f>INDEX($A$3:$A$24,INT((AG262+11)/12))</f>
        <v>Sale of Land (390-**)</v>
      </c>
    </row>
    <row r="263" spans="32:39" x14ac:dyDescent="0.25">
      <c r="AG263" s="129">
        <v>262</v>
      </c>
      <c r="AH263" s="129" t="s">
        <v>1474</v>
      </c>
      <c r="AI263" s="131">
        <f>DATE(YEAR(INDEX($B$2:$N$24,INT((AG263+11)/12)+1,1)),IF(MOD(AG263,12)&lt;&gt;0,MOD(AG263,12),12),1)</f>
        <v>41548</v>
      </c>
      <c r="AJ263" s="129">
        <f>INDEX($C$3:$N$24,INT((AG263+11)/12),AG263-(12*(INT((AG263+11)/12)-1)))</f>
        <v>0</v>
      </c>
      <c r="AK263" s="129">
        <f t="array" ref="AK263">INDEX($P$3:$P$24,MATCH(AM263&amp;YEAR(AI263),$A$3:$A$24&amp;YEAR($B$3:$B$24),0))</f>
        <v>0</v>
      </c>
      <c r="AL263" s="129" t="s">
        <v>1476</v>
      </c>
      <c r="AM263" s="129" t="str">
        <f>INDEX($A$3:$A$24,INT((AG263+11)/12))</f>
        <v>Sale of Land (390-**)</v>
      </c>
    </row>
    <row r="264" spans="32:39" x14ac:dyDescent="0.25">
      <c r="AG264" s="129">
        <v>263</v>
      </c>
      <c r="AH264" s="129" t="s">
        <v>1474</v>
      </c>
      <c r="AI264" s="131">
        <f>DATE(YEAR(INDEX($B$2:$N$24,INT((AG264+11)/12)+1,1)),IF(MOD(AG264,12)&lt;&gt;0,MOD(AG264,12),12),1)</f>
        <v>41579</v>
      </c>
      <c r="AJ264" s="129">
        <f>INDEX($C$3:$N$24,INT((AG264+11)/12),AG264-(12*(INT((AG264+11)/12)-1)))</f>
        <v>0</v>
      </c>
      <c r="AK264" s="129">
        <f t="array" ref="AK264">INDEX($P$3:$P$24,MATCH(AM264&amp;YEAR(AI264),$A$3:$A$24&amp;YEAR($B$3:$B$24),0))</f>
        <v>0</v>
      </c>
      <c r="AL264" s="129" t="s">
        <v>1476</v>
      </c>
      <c r="AM264" s="129" t="str">
        <f>INDEX($A$3:$A$24,INT((AG264+11)/12))</f>
        <v>Sale of Land (390-**)</v>
      </c>
    </row>
    <row r="265" spans="32:39" x14ac:dyDescent="0.25">
      <c r="AG265" s="129">
        <v>264</v>
      </c>
      <c r="AH265" s="129" t="s">
        <v>1474</v>
      </c>
      <c r="AI265" s="131">
        <f>DATE(YEAR(INDEX($B$2:$N$24,INT((AG265+11)/12)+1,1)),IF(MOD(AG265,12)&lt;&gt;0,MOD(AG265,12),12),1)</f>
        <v>41609</v>
      </c>
      <c r="AJ265" s="129">
        <f>INDEX($C$3:$N$24,INT((AG265+11)/12),AG265-(12*(INT((AG265+11)/12)-1)))</f>
        <v>0</v>
      </c>
      <c r="AK265" s="129">
        <f t="array" ref="AK265">INDEX($P$3:$P$24,MATCH(AM265&amp;YEAR(AI265),$A$3:$A$24&amp;YEAR($B$3:$B$24),0))</f>
        <v>0</v>
      </c>
      <c r="AL265" s="129" t="s">
        <v>1476</v>
      </c>
      <c r="AM265" s="129" t="str">
        <f>INDEX($A$3:$A$24,INT((AG265+11)/12))</f>
        <v>Sale of Land (390-**)</v>
      </c>
    </row>
    <row r="266" spans="32:39" x14ac:dyDescent="0.25">
      <c r="AF266" s="129">
        <f>5*12</f>
        <v>60</v>
      </c>
      <c r="AG266" s="129">
        <v>1</v>
      </c>
      <c r="AH266" s="129" t="s">
        <v>1474</v>
      </c>
      <c r="AI266" s="131">
        <f>DATE(YEAR(INDEX($B$30:$N$35,INT((AG266+11)/12)+1,1)),IF(MOD(AG266,12)&lt;&gt;0,MOD(AG266,12),12),1)</f>
        <v>41275</v>
      </c>
      <c r="AJ266" s="129">
        <f>INDEX($C$31:$N$35,INT((AG266+11)/12),AG266-(12*(INT((AG266+11)/12)-1)))</f>
        <v>0</v>
      </c>
      <c r="AK266" s="129">
        <f t="array" ref="AK266">INDEX($P$31:$P$35,MATCH(AM266&amp;YEAR(AI266),$A$31:$A$35&amp;YEAR($B$31:$B$35),0))</f>
        <v>237429</v>
      </c>
      <c r="AL266" s="129" t="s">
        <v>1475</v>
      </c>
      <c r="AM266" s="129" t="str">
        <f>INDEX($A$31:$A$35,INT((AG266+11)/12))</f>
        <v>Intergovernment Revenue (330-**)</v>
      </c>
    </row>
    <row r="267" spans="32:39" x14ac:dyDescent="0.25">
      <c r="AG267" s="129">
        <v>2</v>
      </c>
      <c r="AH267" s="129" t="s">
        <v>1474</v>
      </c>
      <c r="AI267" s="131">
        <f>DATE(YEAR(INDEX($B$30:$N$35,INT((AG267+11)/12)+1,1)),IF(MOD(AG267,12)&lt;&gt;0,MOD(AG267,12),12),1)</f>
        <v>41306</v>
      </c>
      <c r="AJ267" s="129">
        <f>INDEX($C$31:$N$35,INT((AG267+11)/12),AG267-(12*(INT((AG267+11)/12)-1)))</f>
        <v>0</v>
      </c>
      <c r="AK267" s="129">
        <f t="array" ref="AK267">INDEX($P$31:$P$35,MATCH(AM267&amp;YEAR(AI267),$A$31:$A$35&amp;YEAR($B$31:$B$35),0))</f>
        <v>237429</v>
      </c>
      <c r="AL267" s="129" t="s">
        <v>1475</v>
      </c>
      <c r="AM267" s="129" t="str">
        <f>INDEX($A$31:$A$35,INT((AG267+11)/12))</f>
        <v>Intergovernment Revenue (330-**)</v>
      </c>
    </row>
    <row r="268" spans="32:39" x14ac:dyDescent="0.25">
      <c r="AG268" s="129">
        <v>3</v>
      </c>
      <c r="AH268" s="129" t="s">
        <v>1474</v>
      </c>
      <c r="AI268" s="131">
        <f>DATE(YEAR(INDEX($B$30:$N$35,INT((AG268+11)/12)+1,1)),IF(MOD(AG268,12)&lt;&gt;0,MOD(AG268,12),12),1)</f>
        <v>41334</v>
      </c>
      <c r="AJ268" s="129">
        <f>INDEX($C$31:$N$35,INT((AG268+11)/12),AG268-(12*(INT((AG268+11)/12)-1)))</f>
        <v>0</v>
      </c>
      <c r="AK268" s="129">
        <f t="array" ref="AK268">INDEX($P$31:$P$35,MATCH(AM268&amp;YEAR(AI268),$A$31:$A$35&amp;YEAR($B$31:$B$35),0))</f>
        <v>237429</v>
      </c>
      <c r="AL268" s="129" t="s">
        <v>1475</v>
      </c>
      <c r="AM268" s="129" t="str">
        <f>INDEX($A$31:$A$35,INT((AG268+11)/12))</f>
        <v>Intergovernment Revenue (330-**)</v>
      </c>
    </row>
    <row r="269" spans="32:39" x14ac:dyDescent="0.25">
      <c r="AG269" s="129">
        <v>4</v>
      </c>
      <c r="AH269" s="129" t="s">
        <v>1474</v>
      </c>
      <c r="AI269" s="131">
        <f>DATE(YEAR(INDEX($B$30:$N$35,INT((AG269+11)/12)+1,1)),IF(MOD(AG269,12)&lt;&gt;0,MOD(AG269,12),12),1)</f>
        <v>41365</v>
      </c>
      <c r="AJ269" s="129">
        <f>INDEX($C$31:$N$35,INT((AG269+11)/12),AG269-(12*(INT((AG269+11)/12)-1)))</f>
        <v>0</v>
      </c>
      <c r="AK269" s="129">
        <f t="array" ref="AK269">INDEX($P$31:$P$35,MATCH(AM269&amp;YEAR(AI269),$A$31:$A$35&amp;YEAR($B$31:$B$35),0))</f>
        <v>237429</v>
      </c>
      <c r="AL269" s="129" t="s">
        <v>1475</v>
      </c>
      <c r="AM269" s="129" t="str">
        <f>INDEX($A$31:$A$35,INT((AG269+11)/12))</f>
        <v>Intergovernment Revenue (330-**)</v>
      </c>
    </row>
    <row r="270" spans="32:39" x14ac:dyDescent="0.25">
      <c r="AG270" s="129">
        <v>5</v>
      </c>
      <c r="AH270" s="129" t="s">
        <v>1474</v>
      </c>
      <c r="AI270" s="131">
        <f>DATE(YEAR(INDEX($B$30:$N$35,INT((AG270+11)/12)+1,1)),IF(MOD(AG270,12)&lt;&gt;0,MOD(AG270,12),12),1)</f>
        <v>41395</v>
      </c>
      <c r="AJ270" s="129">
        <f>INDEX($C$31:$N$35,INT((AG270+11)/12),AG270-(12*(INT((AG270+11)/12)-1)))</f>
        <v>114241.33</v>
      </c>
      <c r="AK270" s="129">
        <f t="array" ref="AK270">INDEX($P$31:$P$35,MATCH(AM270&amp;YEAR(AI270),$A$31:$A$35&amp;YEAR($B$31:$B$35),0))</f>
        <v>237429</v>
      </c>
      <c r="AL270" s="129" t="s">
        <v>1475</v>
      </c>
      <c r="AM270" s="129" t="str">
        <f>INDEX($A$31:$A$35,INT((AG270+11)/12))</f>
        <v>Intergovernment Revenue (330-**)</v>
      </c>
    </row>
    <row r="271" spans="32:39" x14ac:dyDescent="0.25">
      <c r="AG271" s="129">
        <v>6</v>
      </c>
      <c r="AH271" s="129" t="s">
        <v>1474</v>
      </c>
      <c r="AI271" s="131">
        <f>DATE(YEAR(INDEX($B$30:$N$35,INT((AG271+11)/12)+1,1)),IF(MOD(AG271,12)&lt;&gt;0,MOD(AG271,12),12),1)</f>
        <v>41426</v>
      </c>
      <c r="AJ271" s="129">
        <f>INDEX($C$31:$N$35,INT((AG271+11)/12),AG271-(12*(INT((AG271+11)/12)-1)))</f>
        <v>0</v>
      </c>
      <c r="AK271" s="129">
        <f t="array" ref="AK271">INDEX($P$31:$P$35,MATCH(AM271&amp;YEAR(AI271),$A$31:$A$35&amp;YEAR($B$31:$B$35),0))</f>
        <v>237429</v>
      </c>
      <c r="AL271" s="129" t="s">
        <v>1475</v>
      </c>
      <c r="AM271" s="129" t="str">
        <f>INDEX($A$31:$A$35,INT((AG271+11)/12))</f>
        <v>Intergovernment Revenue (330-**)</v>
      </c>
    </row>
    <row r="272" spans="32:39" x14ac:dyDescent="0.25">
      <c r="AG272" s="129">
        <v>7</v>
      </c>
      <c r="AH272" s="129" t="s">
        <v>1474</v>
      </c>
      <c r="AI272" s="131">
        <f>DATE(YEAR(INDEX($B$30:$N$35,INT((AG272+11)/12)+1,1)),IF(MOD(AG272,12)&lt;&gt;0,MOD(AG272,12),12),1)</f>
        <v>41456</v>
      </c>
      <c r="AJ272" s="129">
        <f>INDEX($C$31:$N$35,INT((AG272+11)/12),AG272-(12*(INT((AG272+11)/12)-1)))</f>
        <v>0</v>
      </c>
      <c r="AK272" s="129">
        <f t="array" ref="AK272">INDEX($P$31:$P$35,MATCH(AM272&amp;YEAR(AI272),$A$31:$A$35&amp;YEAR($B$31:$B$35),0))</f>
        <v>237429</v>
      </c>
      <c r="AL272" s="129" t="s">
        <v>1475</v>
      </c>
      <c r="AM272" s="129" t="str">
        <f>INDEX($A$31:$A$35,INT((AG272+11)/12))</f>
        <v>Intergovernment Revenue (330-**)</v>
      </c>
    </row>
    <row r="273" spans="33:39" x14ac:dyDescent="0.25">
      <c r="AG273" s="129">
        <v>8</v>
      </c>
      <c r="AH273" s="129" t="s">
        <v>1474</v>
      </c>
      <c r="AI273" s="131">
        <f>DATE(YEAR(INDEX($B$30:$N$35,INT((AG273+11)/12)+1,1)),IF(MOD(AG273,12)&lt;&gt;0,MOD(AG273,12),12),1)</f>
        <v>41487</v>
      </c>
      <c r="AJ273" s="129">
        <f>INDEX($C$31:$N$35,INT((AG273+11)/12),AG273-(12*(INT((AG273+11)/12)-1)))</f>
        <v>0</v>
      </c>
      <c r="AK273" s="129">
        <f t="array" ref="AK273">INDEX($P$31:$P$35,MATCH(AM273&amp;YEAR(AI273),$A$31:$A$35&amp;YEAR($B$31:$B$35),0))</f>
        <v>237429</v>
      </c>
      <c r="AL273" s="129" t="s">
        <v>1475</v>
      </c>
      <c r="AM273" s="129" t="str">
        <f>INDEX($A$31:$A$35,INT((AG273+11)/12))</f>
        <v>Intergovernment Revenue (330-**)</v>
      </c>
    </row>
    <row r="274" spans="33:39" x14ac:dyDescent="0.25">
      <c r="AG274" s="129">
        <v>9</v>
      </c>
      <c r="AH274" s="129" t="s">
        <v>1474</v>
      </c>
      <c r="AI274" s="131">
        <f>DATE(YEAR(INDEX($B$30:$N$35,INT((AG274+11)/12)+1,1)),IF(MOD(AG274,12)&lt;&gt;0,MOD(AG274,12),12),1)</f>
        <v>41518</v>
      </c>
      <c r="AJ274" s="129">
        <f>INDEX($C$31:$N$35,INT((AG274+11)/12),AG274-(12*(INT((AG274+11)/12)-1)))</f>
        <v>0</v>
      </c>
      <c r="AK274" s="129">
        <f t="array" ref="AK274">INDEX($P$31:$P$35,MATCH(AM274&amp;YEAR(AI274),$A$31:$A$35&amp;YEAR($B$31:$B$35),0))</f>
        <v>237429</v>
      </c>
      <c r="AL274" s="129" t="s">
        <v>1475</v>
      </c>
      <c r="AM274" s="129" t="str">
        <f>INDEX($A$31:$A$35,INT((AG274+11)/12))</f>
        <v>Intergovernment Revenue (330-**)</v>
      </c>
    </row>
    <row r="275" spans="33:39" x14ac:dyDescent="0.25">
      <c r="AG275" s="129">
        <v>10</v>
      </c>
      <c r="AH275" s="129" t="s">
        <v>1474</v>
      </c>
      <c r="AI275" s="131">
        <f>DATE(YEAR(INDEX($B$30:$N$35,INT((AG275+11)/12)+1,1)),IF(MOD(AG275,12)&lt;&gt;0,MOD(AG275,12),12),1)</f>
        <v>41548</v>
      </c>
      <c r="AJ275" s="129">
        <f>INDEX($C$31:$N$35,INT((AG275+11)/12),AG275-(12*(INT((AG275+11)/12)-1)))</f>
        <v>0</v>
      </c>
      <c r="AK275" s="129">
        <f t="array" ref="AK275">INDEX($P$31:$P$35,MATCH(AM275&amp;YEAR(AI275),$A$31:$A$35&amp;YEAR($B$31:$B$35),0))</f>
        <v>237429</v>
      </c>
      <c r="AL275" s="129" t="s">
        <v>1475</v>
      </c>
      <c r="AM275" s="129" t="str">
        <f>INDEX($A$31:$A$35,INT((AG275+11)/12))</f>
        <v>Intergovernment Revenue (330-**)</v>
      </c>
    </row>
    <row r="276" spans="33:39" x14ac:dyDescent="0.25">
      <c r="AG276" s="129">
        <v>11</v>
      </c>
      <c r="AH276" s="129" t="s">
        <v>1474</v>
      </c>
      <c r="AI276" s="131">
        <f>DATE(YEAR(INDEX($B$30:$N$35,INT((AG276+11)/12)+1,1)),IF(MOD(AG276,12)&lt;&gt;0,MOD(AG276,12),12),1)</f>
        <v>41579</v>
      </c>
      <c r="AJ276" s="129">
        <f>INDEX($C$31:$N$35,INT((AG276+11)/12),AG276-(12*(INT((AG276+11)/12)-1)))</f>
        <v>0</v>
      </c>
      <c r="AK276" s="129">
        <f t="array" ref="AK276">INDEX($P$31:$P$35,MATCH(AM276&amp;YEAR(AI276),$A$31:$A$35&amp;YEAR($B$31:$B$35),0))</f>
        <v>237429</v>
      </c>
      <c r="AL276" s="129" t="s">
        <v>1475</v>
      </c>
      <c r="AM276" s="129" t="str">
        <f>INDEX($A$31:$A$35,INT((AG276+11)/12))</f>
        <v>Intergovernment Revenue (330-**)</v>
      </c>
    </row>
    <row r="277" spans="33:39" x14ac:dyDescent="0.25">
      <c r="AG277" s="129">
        <v>12</v>
      </c>
      <c r="AH277" s="129" t="s">
        <v>1474</v>
      </c>
      <c r="AI277" s="131">
        <f>DATE(YEAR(INDEX($B$30:$N$35,INT((AG277+11)/12)+1,1)),IF(MOD(AG277,12)&lt;&gt;0,MOD(AG277,12),12),1)</f>
        <v>41609</v>
      </c>
      <c r="AJ277" s="129">
        <f>INDEX($C$31:$N$35,INT((AG277+11)/12),AG277-(12*(INT((AG277+11)/12)-1)))</f>
        <v>0</v>
      </c>
      <c r="AK277" s="129">
        <f t="array" ref="AK277">INDEX($P$31:$P$35,MATCH(AM277&amp;YEAR(AI277),$A$31:$A$35&amp;YEAR($B$31:$B$35),0))</f>
        <v>237429</v>
      </c>
      <c r="AL277" s="129" t="s">
        <v>1475</v>
      </c>
      <c r="AM277" s="129" t="str">
        <f>INDEX($A$31:$A$35,INT((AG277+11)/12))</f>
        <v>Intergovernment Revenue (330-**)</v>
      </c>
    </row>
    <row r="278" spans="33:39" x14ac:dyDescent="0.25">
      <c r="AG278" s="129">
        <v>13</v>
      </c>
      <c r="AH278" s="129" t="s">
        <v>1474</v>
      </c>
      <c r="AI278" s="131">
        <f>DATE(YEAR(INDEX($B$30:$N$35,INT((AG278+11)/12)+1,1)),IF(MOD(AG278,12)&lt;&gt;0,MOD(AG278,12),12),1)</f>
        <v>40909</v>
      </c>
      <c r="AJ278" s="129">
        <f>INDEX($C$31:$N$35,INT((AG278+11)/12),AG278-(12*(INT((AG278+11)/12)-1)))</f>
        <v>0</v>
      </c>
      <c r="AK278" s="129">
        <f t="array" ref="AK278">INDEX($P$31:$P$35,MATCH(AM278&amp;YEAR(AI278),$A$31:$A$35&amp;YEAR($B$31:$B$35),0))</f>
        <v>0</v>
      </c>
      <c r="AL278" s="129" t="s">
        <v>1475</v>
      </c>
      <c r="AM278" s="129" t="str">
        <f>INDEX($A$31:$A$35,INT((AG278+11)/12))</f>
        <v>Interest Earnings (361-*)</v>
      </c>
    </row>
    <row r="279" spans="33:39" x14ac:dyDescent="0.25">
      <c r="AG279" s="129">
        <v>14</v>
      </c>
      <c r="AH279" s="129" t="s">
        <v>1474</v>
      </c>
      <c r="AI279" s="131">
        <f>DATE(YEAR(INDEX($B$30:$N$35,INT((AG279+11)/12)+1,1)),IF(MOD(AG279,12)&lt;&gt;0,MOD(AG279,12),12),1)</f>
        <v>40940</v>
      </c>
      <c r="AJ279" s="129">
        <f>INDEX($C$31:$N$35,INT((AG279+11)/12),AG279-(12*(INT((AG279+11)/12)-1)))</f>
        <v>739.75</v>
      </c>
      <c r="AK279" s="129">
        <f t="array" ref="AK279">INDEX($P$31:$P$35,MATCH(AM279&amp;YEAR(AI279),$A$31:$A$35&amp;YEAR($B$31:$B$35),0))</f>
        <v>0</v>
      </c>
      <c r="AL279" s="129" t="s">
        <v>1475</v>
      </c>
      <c r="AM279" s="129" t="str">
        <f>INDEX($A$31:$A$35,INT((AG279+11)/12))</f>
        <v>Interest Earnings (361-*)</v>
      </c>
    </row>
    <row r="280" spans="33:39" x14ac:dyDescent="0.25">
      <c r="AG280" s="129">
        <v>15</v>
      </c>
      <c r="AH280" s="129" t="s">
        <v>1474</v>
      </c>
      <c r="AI280" s="131">
        <f>DATE(YEAR(INDEX($B$30:$N$35,INT((AG280+11)/12)+1,1)),IF(MOD(AG280,12)&lt;&gt;0,MOD(AG280,12),12),1)</f>
        <v>40969</v>
      </c>
      <c r="AJ280" s="129">
        <f>INDEX($C$31:$N$35,INT((AG280+11)/12),AG280-(12*(INT((AG280+11)/12)-1)))</f>
        <v>1052.76</v>
      </c>
      <c r="AK280" s="129">
        <f t="array" ref="AK280">INDEX($P$31:$P$35,MATCH(AM280&amp;YEAR(AI280),$A$31:$A$35&amp;YEAR($B$31:$B$35),0))</f>
        <v>0</v>
      </c>
      <c r="AL280" s="129" t="s">
        <v>1475</v>
      </c>
      <c r="AM280" s="129" t="str">
        <f>INDEX($A$31:$A$35,INT((AG280+11)/12))</f>
        <v>Interest Earnings (361-*)</v>
      </c>
    </row>
    <row r="281" spans="33:39" x14ac:dyDescent="0.25">
      <c r="AG281" s="129">
        <v>16</v>
      </c>
      <c r="AH281" s="129" t="s">
        <v>1474</v>
      </c>
      <c r="AI281" s="131">
        <f>DATE(YEAR(INDEX($B$30:$N$35,INT((AG281+11)/12)+1,1)),IF(MOD(AG281,12)&lt;&gt;0,MOD(AG281,12),12),1)</f>
        <v>41000</v>
      </c>
      <c r="AJ281" s="129">
        <f>INDEX($C$31:$N$35,INT((AG281+11)/12),AG281-(12*(INT((AG281+11)/12)-1)))</f>
        <v>1269.5899999999999</v>
      </c>
      <c r="AK281" s="129">
        <f t="array" ref="AK281">INDEX($P$31:$P$35,MATCH(AM281&amp;YEAR(AI281),$A$31:$A$35&amp;YEAR($B$31:$B$35),0))</f>
        <v>0</v>
      </c>
      <c r="AL281" s="129" t="s">
        <v>1475</v>
      </c>
      <c r="AM281" s="129" t="str">
        <f>INDEX($A$31:$A$35,INT((AG281+11)/12))</f>
        <v>Interest Earnings (361-*)</v>
      </c>
    </row>
    <row r="282" spans="33:39" x14ac:dyDescent="0.25">
      <c r="AG282" s="129">
        <v>17</v>
      </c>
      <c r="AH282" s="129" t="s">
        <v>1474</v>
      </c>
      <c r="AI282" s="131">
        <f>DATE(YEAR(INDEX($B$30:$N$35,INT((AG282+11)/12)+1,1)),IF(MOD(AG282,12)&lt;&gt;0,MOD(AG282,12),12),1)</f>
        <v>41030</v>
      </c>
      <c r="AJ282" s="129">
        <f>INDEX($C$31:$N$35,INT((AG282+11)/12),AG282-(12*(INT((AG282+11)/12)-1)))</f>
        <v>1558.22</v>
      </c>
      <c r="AK282" s="129">
        <f t="array" ref="AK282">INDEX($P$31:$P$35,MATCH(AM282&amp;YEAR(AI282),$A$31:$A$35&amp;YEAR($B$31:$B$35),0))</f>
        <v>0</v>
      </c>
      <c r="AL282" s="129" t="s">
        <v>1475</v>
      </c>
      <c r="AM282" s="129" t="str">
        <f>INDEX($A$31:$A$35,INT((AG282+11)/12))</f>
        <v>Interest Earnings (361-*)</v>
      </c>
    </row>
    <row r="283" spans="33:39" x14ac:dyDescent="0.25">
      <c r="AG283" s="129">
        <v>18</v>
      </c>
      <c r="AH283" s="129" t="s">
        <v>1474</v>
      </c>
      <c r="AI283" s="131">
        <f>DATE(YEAR(INDEX($B$30:$N$35,INT((AG283+11)/12)+1,1)),IF(MOD(AG283,12)&lt;&gt;0,MOD(AG283,12),12),1)</f>
        <v>41061</v>
      </c>
      <c r="AJ283" s="129">
        <f>INDEX($C$31:$N$35,INT((AG283+11)/12),AG283-(12*(INT((AG283+11)/12)-1)))</f>
        <v>1549.29</v>
      </c>
      <c r="AK283" s="129">
        <f t="array" ref="AK283">INDEX($P$31:$P$35,MATCH(AM283&amp;YEAR(AI283),$A$31:$A$35&amp;YEAR($B$31:$B$35),0))</f>
        <v>0</v>
      </c>
      <c r="AL283" s="129" t="s">
        <v>1475</v>
      </c>
      <c r="AM283" s="129" t="str">
        <f>INDEX($A$31:$A$35,INT((AG283+11)/12))</f>
        <v>Interest Earnings (361-*)</v>
      </c>
    </row>
    <row r="284" spans="33:39" x14ac:dyDescent="0.25">
      <c r="AG284" s="129">
        <v>19</v>
      </c>
      <c r="AH284" s="129" t="s">
        <v>1474</v>
      </c>
      <c r="AI284" s="131">
        <f>DATE(YEAR(INDEX($B$30:$N$35,INT((AG284+11)/12)+1,1)),IF(MOD(AG284,12)&lt;&gt;0,MOD(AG284,12),12),1)</f>
        <v>41091</v>
      </c>
      <c r="AJ284" s="129">
        <f>INDEX($C$31:$N$35,INT((AG284+11)/12),AG284-(12*(INT((AG284+11)/12)-1)))</f>
        <v>1322.24</v>
      </c>
      <c r="AK284" s="129">
        <f t="array" ref="AK284">INDEX($P$31:$P$35,MATCH(AM284&amp;YEAR(AI284),$A$31:$A$35&amp;YEAR($B$31:$B$35),0))</f>
        <v>0</v>
      </c>
      <c r="AL284" s="129" t="s">
        <v>1475</v>
      </c>
      <c r="AM284" s="129" t="str">
        <f>INDEX($A$31:$A$35,INT((AG284+11)/12))</f>
        <v>Interest Earnings (361-*)</v>
      </c>
    </row>
    <row r="285" spans="33:39" x14ac:dyDescent="0.25">
      <c r="AG285" s="129">
        <v>20</v>
      </c>
      <c r="AH285" s="129" t="s">
        <v>1474</v>
      </c>
      <c r="AI285" s="131">
        <f>DATE(YEAR(INDEX($B$30:$N$35,INT((AG285+11)/12)+1,1)),IF(MOD(AG285,12)&lt;&gt;0,MOD(AG285,12),12),1)</f>
        <v>41122</v>
      </c>
      <c r="AJ285" s="129">
        <f>INDEX($C$31:$N$35,INT((AG285+11)/12),AG285-(12*(INT((AG285+11)/12)-1)))</f>
        <v>1573.63</v>
      </c>
      <c r="AK285" s="129">
        <f t="array" ref="AK285">INDEX($P$31:$P$35,MATCH(AM285&amp;YEAR(AI285),$A$31:$A$35&amp;YEAR($B$31:$B$35),0))</f>
        <v>0</v>
      </c>
      <c r="AL285" s="129" t="s">
        <v>1475</v>
      </c>
      <c r="AM285" s="129" t="str">
        <f>INDEX($A$31:$A$35,INT((AG285+11)/12))</f>
        <v>Interest Earnings (361-*)</v>
      </c>
    </row>
    <row r="286" spans="33:39" x14ac:dyDescent="0.25">
      <c r="AG286" s="129">
        <v>21</v>
      </c>
      <c r="AH286" s="129" t="s">
        <v>1474</v>
      </c>
      <c r="AI286" s="131">
        <f>DATE(YEAR(INDEX($B$30:$N$35,INT((AG286+11)/12)+1,1)),IF(MOD(AG286,12)&lt;&gt;0,MOD(AG286,12),12),1)</f>
        <v>41153</v>
      </c>
      <c r="AJ286" s="129">
        <f>INDEX($C$31:$N$35,INT((AG286+11)/12),AG286-(12*(INT((AG286+11)/12)-1)))</f>
        <v>1703.17</v>
      </c>
      <c r="AK286" s="129">
        <f t="array" ref="AK286">INDEX($P$31:$P$35,MATCH(AM286&amp;YEAR(AI286),$A$31:$A$35&amp;YEAR($B$31:$B$35),0))</f>
        <v>0</v>
      </c>
      <c r="AL286" s="129" t="s">
        <v>1475</v>
      </c>
      <c r="AM286" s="129" t="str">
        <f>INDEX($A$31:$A$35,INT((AG286+11)/12))</f>
        <v>Interest Earnings (361-*)</v>
      </c>
    </row>
    <row r="287" spans="33:39" x14ac:dyDescent="0.25">
      <c r="AG287" s="129">
        <v>22</v>
      </c>
      <c r="AH287" s="129" t="s">
        <v>1474</v>
      </c>
      <c r="AI287" s="131">
        <f>DATE(YEAR(INDEX($B$30:$N$35,INT((AG287+11)/12)+1,1)),IF(MOD(AG287,12)&lt;&gt;0,MOD(AG287,12),12),1)</f>
        <v>41183</v>
      </c>
      <c r="AJ287" s="129">
        <f>INDEX($C$31:$N$35,INT((AG287+11)/12),AG287-(12*(INT((AG287+11)/12)-1)))</f>
        <v>1880.54</v>
      </c>
      <c r="AK287" s="129">
        <f t="array" ref="AK287">INDEX($P$31:$P$35,MATCH(AM287&amp;YEAR(AI287),$A$31:$A$35&amp;YEAR($B$31:$B$35),0))</f>
        <v>0</v>
      </c>
      <c r="AL287" s="129" t="s">
        <v>1475</v>
      </c>
      <c r="AM287" s="129" t="str">
        <f>INDEX($A$31:$A$35,INT((AG287+11)/12))</f>
        <v>Interest Earnings (361-*)</v>
      </c>
    </row>
    <row r="288" spans="33:39" x14ac:dyDescent="0.25">
      <c r="AG288" s="129">
        <v>23</v>
      </c>
      <c r="AH288" s="129" t="s">
        <v>1474</v>
      </c>
      <c r="AI288" s="131">
        <f>DATE(YEAR(INDEX($B$30:$N$35,INT((AG288+11)/12)+1,1)),IF(MOD(AG288,12)&lt;&gt;0,MOD(AG288,12),12),1)</f>
        <v>41214</v>
      </c>
      <c r="AJ288" s="129">
        <f>INDEX($C$31:$N$35,INT((AG288+11)/12),AG288-(12*(INT((AG288+11)/12)-1)))</f>
        <v>2680.05</v>
      </c>
      <c r="AK288" s="129">
        <f t="array" ref="AK288">INDEX($P$31:$P$35,MATCH(AM288&amp;YEAR(AI288),$A$31:$A$35&amp;YEAR($B$31:$B$35),0))</f>
        <v>0</v>
      </c>
      <c r="AL288" s="129" t="s">
        <v>1475</v>
      </c>
      <c r="AM288" s="129" t="str">
        <f>INDEX($A$31:$A$35,INT((AG288+11)/12))</f>
        <v>Interest Earnings (361-*)</v>
      </c>
    </row>
    <row r="289" spans="33:39" x14ac:dyDescent="0.25">
      <c r="AG289" s="129">
        <v>24</v>
      </c>
      <c r="AH289" s="129" t="s">
        <v>1474</v>
      </c>
      <c r="AI289" s="131">
        <f>DATE(YEAR(INDEX($B$30:$N$35,INT((AG289+11)/12)+1,1)),IF(MOD(AG289,12)&lt;&gt;0,MOD(AG289,12),12),1)</f>
        <v>41244</v>
      </c>
      <c r="AJ289" s="129">
        <f>INDEX($C$31:$N$35,INT((AG289+11)/12),AG289-(12*(INT((AG289+11)/12)-1)))</f>
        <v>-4211.5599999999995</v>
      </c>
      <c r="AK289" s="129">
        <f t="array" ref="AK289">INDEX($P$31:$P$35,MATCH(AM289&amp;YEAR(AI289),$A$31:$A$35&amp;YEAR($B$31:$B$35),0))</f>
        <v>0</v>
      </c>
      <c r="AL289" s="129" t="s">
        <v>1475</v>
      </c>
      <c r="AM289" s="129" t="str">
        <f>INDEX($A$31:$A$35,INT((AG289+11)/12))</f>
        <v>Interest Earnings (361-*)</v>
      </c>
    </row>
    <row r="290" spans="33:39" x14ac:dyDescent="0.25">
      <c r="AG290" s="129">
        <v>25</v>
      </c>
      <c r="AH290" s="129" t="s">
        <v>1474</v>
      </c>
      <c r="AI290" s="131">
        <f>DATE(YEAR(INDEX($B$30:$N$35,INT((AG290+11)/12)+1,1)),IF(MOD(AG290,12)&lt;&gt;0,MOD(AG290,12),12),1)</f>
        <v>41275</v>
      </c>
      <c r="AJ290" s="129">
        <f>INDEX($C$31:$N$35,INT((AG290+11)/12),AG290-(12*(INT((AG290+11)/12)-1)))</f>
        <v>0</v>
      </c>
      <c r="AK290" s="129">
        <f t="array" ref="AK290">INDEX($P$31:$P$35,MATCH(AM290&amp;YEAR(AI290),$A$31:$A$35&amp;YEAR($B$31:$B$35),0))</f>
        <v>0</v>
      </c>
      <c r="AL290" s="129" t="s">
        <v>1475</v>
      </c>
      <c r="AM290" s="129" t="str">
        <f>INDEX($A$31:$A$35,INT((AG290+11)/12))</f>
        <v>Interest Earnings (361-*)</v>
      </c>
    </row>
    <row r="291" spans="33:39" x14ac:dyDescent="0.25">
      <c r="AG291" s="129">
        <v>26</v>
      </c>
      <c r="AH291" s="129" t="s">
        <v>1474</v>
      </c>
      <c r="AI291" s="131">
        <f>DATE(YEAR(INDEX($B$30:$N$35,INT((AG291+11)/12)+1,1)),IF(MOD(AG291,12)&lt;&gt;0,MOD(AG291,12),12),1)</f>
        <v>41306</v>
      </c>
      <c r="AJ291" s="129">
        <f>INDEX($C$31:$N$35,INT((AG291+11)/12),AG291-(12*(INT((AG291+11)/12)-1)))</f>
        <v>3886.42</v>
      </c>
      <c r="AK291" s="129">
        <f t="array" ref="AK291">INDEX($P$31:$P$35,MATCH(AM291&amp;YEAR(AI291),$A$31:$A$35&amp;YEAR($B$31:$B$35),0))</f>
        <v>0</v>
      </c>
      <c r="AL291" s="129" t="s">
        <v>1475</v>
      </c>
      <c r="AM291" s="129" t="str">
        <f>INDEX($A$31:$A$35,INT((AG291+11)/12))</f>
        <v>Interest Earnings (361-*)</v>
      </c>
    </row>
    <row r="292" spans="33:39" x14ac:dyDescent="0.25">
      <c r="AG292" s="129">
        <v>27</v>
      </c>
      <c r="AH292" s="129" t="s">
        <v>1474</v>
      </c>
      <c r="AI292" s="131">
        <f>DATE(YEAR(INDEX($B$30:$N$35,INT((AG292+11)/12)+1,1)),IF(MOD(AG292,12)&lt;&gt;0,MOD(AG292,12),12),1)</f>
        <v>41334</v>
      </c>
      <c r="AJ292" s="129">
        <f>INDEX($C$31:$N$35,INT((AG292+11)/12),AG292-(12*(INT((AG292+11)/12)-1)))</f>
        <v>3481</v>
      </c>
      <c r="AK292" s="129">
        <f t="array" ref="AK292">INDEX($P$31:$P$35,MATCH(AM292&amp;YEAR(AI292),$A$31:$A$35&amp;YEAR($B$31:$B$35),0))</f>
        <v>0</v>
      </c>
      <c r="AL292" s="129" t="s">
        <v>1475</v>
      </c>
      <c r="AM292" s="129" t="str">
        <f>INDEX($A$31:$A$35,INT((AG292+11)/12))</f>
        <v>Interest Earnings (361-*)</v>
      </c>
    </row>
    <row r="293" spans="33:39" x14ac:dyDescent="0.25">
      <c r="AG293" s="129">
        <v>28</v>
      </c>
      <c r="AH293" s="129" t="s">
        <v>1474</v>
      </c>
      <c r="AI293" s="131">
        <f>DATE(YEAR(INDEX($B$30:$N$35,INT((AG293+11)/12)+1,1)),IF(MOD(AG293,12)&lt;&gt;0,MOD(AG293,12),12),1)</f>
        <v>41365</v>
      </c>
      <c r="AJ293" s="129">
        <f>INDEX($C$31:$N$35,INT((AG293+11)/12),AG293-(12*(INT((AG293+11)/12)-1)))</f>
        <v>3919.18</v>
      </c>
      <c r="AK293" s="129">
        <f t="array" ref="AK293">INDEX($P$31:$P$35,MATCH(AM293&amp;YEAR(AI293),$A$31:$A$35&amp;YEAR($B$31:$B$35),0))</f>
        <v>0</v>
      </c>
      <c r="AL293" s="129" t="s">
        <v>1475</v>
      </c>
      <c r="AM293" s="129" t="str">
        <f>INDEX($A$31:$A$35,INT((AG293+11)/12))</f>
        <v>Interest Earnings (361-*)</v>
      </c>
    </row>
    <row r="294" spans="33:39" x14ac:dyDescent="0.25">
      <c r="AG294" s="129">
        <v>29</v>
      </c>
      <c r="AH294" s="129" t="s">
        <v>1474</v>
      </c>
      <c r="AI294" s="131">
        <f>DATE(YEAR(INDEX($B$30:$N$35,INT((AG294+11)/12)+1,1)),IF(MOD(AG294,12)&lt;&gt;0,MOD(AG294,12),12),1)</f>
        <v>41395</v>
      </c>
      <c r="AJ294" s="129">
        <f>INDEX($C$31:$N$35,INT((AG294+11)/12),AG294-(12*(INT((AG294+11)/12)-1)))</f>
        <v>3883.8</v>
      </c>
      <c r="AK294" s="129">
        <f t="array" ref="AK294">INDEX($P$31:$P$35,MATCH(AM294&amp;YEAR(AI294),$A$31:$A$35&amp;YEAR($B$31:$B$35),0))</f>
        <v>0</v>
      </c>
      <c r="AL294" s="129" t="s">
        <v>1475</v>
      </c>
      <c r="AM294" s="129" t="str">
        <f>INDEX($A$31:$A$35,INT((AG294+11)/12))</f>
        <v>Interest Earnings (361-*)</v>
      </c>
    </row>
    <row r="295" spans="33:39" x14ac:dyDescent="0.25">
      <c r="AG295" s="129">
        <v>30</v>
      </c>
      <c r="AH295" s="129" t="s">
        <v>1474</v>
      </c>
      <c r="AI295" s="131">
        <f>DATE(YEAR(INDEX($B$30:$N$35,INT((AG295+11)/12)+1,1)),IF(MOD(AG295,12)&lt;&gt;0,MOD(AG295,12),12),1)</f>
        <v>41426</v>
      </c>
      <c r="AJ295" s="129">
        <f>INDEX($C$31:$N$35,INT((AG295+11)/12),AG295-(12*(INT((AG295+11)/12)-1)))</f>
        <v>0</v>
      </c>
      <c r="AK295" s="129">
        <f t="array" ref="AK295">INDEX($P$31:$P$35,MATCH(AM295&amp;YEAR(AI295),$A$31:$A$35&amp;YEAR($B$31:$B$35),0))</f>
        <v>0</v>
      </c>
      <c r="AL295" s="129" t="s">
        <v>1475</v>
      </c>
      <c r="AM295" s="129" t="str">
        <f>INDEX($A$31:$A$35,INT((AG295+11)/12))</f>
        <v>Interest Earnings (361-*)</v>
      </c>
    </row>
    <row r="296" spans="33:39" x14ac:dyDescent="0.25">
      <c r="AG296" s="129">
        <v>31</v>
      </c>
      <c r="AH296" s="129" t="s">
        <v>1474</v>
      </c>
      <c r="AI296" s="131">
        <f>DATE(YEAR(INDEX($B$30:$N$35,INT((AG296+11)/12)+1,1)),IF(MOD(AG296,12)&lt;&gt;0,MOD(AG296,12),12),1)</f>
        <v>41456</v>
      </c>
      <c r="AJ296" s="129">
        <f>INDEX($C$31:$N$35,INT((AG296+11)/12),AG296-(12*(INT((AG296+11)/12)-1)))</f>
        <v>0</v>
      </c>
      <c r="AK296" s="129">
        <f t="array" ref="AK296">INDEX($P$31:$P$35,MATCH(AM296&amp;YEAR(AI296),$A$31:$A$35&amp;YEAR($B$31:$B$35),0))</f>
        <v>0</v>
      </c>
      <c r="AL296" s="129" t="s">
        <v>1475</v>
      </c>
      <c r="AM296" s="129" t="str">
        <f>INDEX($A$31:$A$35,INT((AG296+11)/12))</f>
        <v>Interest Earnings (361-*)</v>
      </c>
    </row>
    <row r="297" spans="33:39" x14ac:dyDescent="0.25">
      <c r="AG297" s="129">
        <v>32</v>
      </c>
      <c r="AH297" s="129" t="s">
        <v>1474</v>
      </c>
      <c r="AI297" s="131">
        <f>DATE(YEAR(INDEX($B$30:$N$35,INT((AG297+11)/12)+1,1)),IF(MOD(AG297,12)&lt;&gt;0,MOD(AG297,12),12),1)</f>
        <v>41487</v>
      </c>
      <c r="AJ297" s="129">
        <f>INDEX($C$31:$N$35,INT((AG297+11)/12),AG297-(12*(INT((AG297+11)/12)-1)))</f>
        <v>0</v>
      </c>
      <c r="AK297" s="129">
        <f t="array" ref="AK297">INDEX($P$31:$P$35,MATCH(AM297&amp;YEAR(AI297),$A$31:$A$35&amp;YEAR($B$31:$B$35),0))</f>
        <v>0</v>
      </c>
      <c r="AL297" s="129" t="s">
        <v>1475</v>
      </c>
      <c r="AM297" s="129" t="str">
        <f>INDEX($A$31:$A$35,INT((AG297+11)/12))</f>
        <v>Interest Earnings (361-*)</v>
      </c>
    </row>
    <row r="298" spans="33:39" x14ac:dyDescent="0.25">
      <c r="AG298" s="129">
        <v>33</v>
      </c>
      <c r="AH298" s="129" t="s">
        <v>1474</v>
      </c>
      <c r="AI298" s="131">
        <f>DATE(YEAR(INDEX($B$30:$N$35,INT((AG298+11)/12)+1,1)),IF(MOD(AG298,12)&lt;&gt;0,MOD(AG298,12),12),1)</f>
        <v>41518</v>
      </c>
      <c r="AJ298" s="129">
        <f>INDEX($C$31:$N$35,INT((AG298+11)/12),AG298-(12*(INT((AG298+11)/12)-1)))</f>
        <v>0</v>
      </c>
      <c r="AK298" s="129">
        <f t="array" ref="AK298">INDEX($P$31:$P$35,MATCH(AM298&amp;YEAR(AI298),$A$31:$A$35&amp;YEAR($B$31:$B$35),0))</f>
        <v>0</v>
      </c>
      <c r="AL298" s="129" t="s">
        <v>1475</v>
      </c>
      <c r="AM298" s="129" t="str">
        <f>INDEX($A$31:$A$35,INT((AG298+11)/12))</f>
        <v>Interest Earnings (361-*)</v>
      </c>
    </row>
    <row r="299" spans="33:39" x14ac:dyDescent="0.25">
      <c r="AG299" s="129">
        <v>34</v>
      </c>
      <c r="AH299" s="129" t="s">
        <v>1474</v>
      </c>
      <c r="AI299" s="131">
        <f>DATE(YEAR(INDEX($B$30:$N$35,INT((AG299+11)/12)+1,1)),IF(MOD(AG299,12)&lt;&gt;0,MOD(AG299,12),12),1)</f>
        <v>41548</v>
      </c>
      <c r="AJ299" s="129">
        <f>INDEX($C$31:$N$35,INT((AG299+11)/12),AG299-(12*(INT((AG299+11)/12)-1)))</f>
        <v>0</v>
      </c>
      <c r="AK299" s="129">
        <f t="array" ref="AK299">INDEX($P$31:$P$35,MATCH(AM299&amp;YEAR(AI299),$A$31:$A$35&amp;YEAR($B$31:$B$35),0))</f>
        <v>0</v>
      </c>
      <c r="AL299" s="129" t="s">
        <v>1475</v>
      </c>
      <c r="AM299" s="129" t="str">
        <f>INDEX($A$31:$A$35,INT((AG299+11)/12))</f>
        <v>Interest Earnings (361-*)</v>
      </c>
    </row>
    <row r="300" spans="33:39" x14ac:dyDescent="0.25">
      <c r="AG300" s="129">
        <v>35</v>
      </c>
      <c r="AH300" s="129" t="s">
        <v>1474</v>
      </c>
      <c r="AI300" s="131">
        <f>DATE(YEAR(INDEX($B$30:$N$35,INT((AG300+11)/12)+1,1)),IF(MOD(AG300,12)&lt;&gt;0,MOD(AG300,12),12),1)</f>
        <v>41579</v>
      </c>
      <c r="AJ300" s="129">
        <f>INDEX($C$31:$N$35,INT((AG300+11)/12),AG300-(12*(INT((AG300+11)/12)-1)))</f>
        <v>0</v>
      </c>
      <c r="AK300" s="129">
        <f t="array" ref="AK300">INDEX($P$31:$P$35,MATCH(AM300&amp;YEAR(AI300),$A$31:$A$35&amp;YEAR($B$31:$B$35),0))</f>
        <v>0</v>
      </c>
      <c r="AL300" s="129" t="s">
        <v>1475</v>
      </c>
      <c r="AM300" s="129" t="str">
        <f>INDEX($A$31:$A$35,INT((AG300+11)/12))</f>
        <v>Interest Earnings (361-*)</v>
      </c>
    </row>
    <row r="301" spans="33:39" x14ac:dyDescent="0.25">
      <c r="AG301" s="129">
        <v>36</v>
      </c>
      <c r="AH301" s="129" t="s">
        <v>1474</v>
      </c>
      <c r="AI301" s="131">
        <f>DATE(YEAR(INDEX($B$30:$N$35,INT((AG301+11)/12)+1,1)),IF(MOD(AG301,12)&lt;&gt;0,MOD(AG301,12),12),1)</f>
        <v>41609</v>
      </c>
      <c r="AJ301" s="129">
        <f>INDEX($C$31:$N$35,INT((AG301+11)/12),AG301-(12*(INT((AG301+11)/12)-1)))</f>
        <v>0</v>
      </c>
      <c r="AK301" s="129">
        <f t="array" ref="AK301">INDEX($P$31:$P$35,MATCH(AM301&amp;YEAR(AI301),$A$31:$A$35&amp;YEAR($B$31:$B$35),0))</f>
        <v>0</v>
      </c>
      <c r="AL301" s="129" t="s">
        <v>1475</v>
      </c>
      <c r="AM301" s="129" t="str">
        <f>INDEX($A$31:$A$35,INT((AG301+11)/12))</f>
        <v>Interest Earnings (361-*)</v>
      </c>
    </row>
    <row r="302" spans="33:39" x14ac:dyDescent="0.25">
      <c r="AG302" s="129">
        <v>37</v>
      </c>
      <c r="AH302" s="129" t="s">
        <v>1474</v>
      </c>
      <c r="AI302" s="131">
        <f>DATE(YEAR(INDEX($B$30:$N$35,INT((AG302+11)/12)+1,1)),IF(MOD(AG302,12)&lt;&gt;0,MOD(AG302,12),12),1)</f>
        <v>40909</v>
      </c>
      <c r="AJ302" s="129">
        <f>INDEX($C$31:$N$35,INT((AG302+11)/12),AG302-(12*(INT((AG302+11)/12)-1)))</f>
        <v>148616.32999999999</v>
      </c>
      <c r="AK302" s="129">
        <f t="array" ref="AK302">INDEX($P$31:$P$35,MATCH(AM302&amp;YEAR(AI302),$A$31:$A$35&amp;YEAR($B$31:$B$35),0))</f>
        <v>0</v>
      </c>
      <c r="AL302" s="129" t="s">
        <v>1475</v>
      </c>
      <c r="AM302" s="129" t="str">
        <f>INDEX($A$31:$A$35,INT((AG302+11)/12))</f>
        <v>Transfer from Other Funds (370-**)</v>
      </c>
    </row>
    <row r="303" spans="33:39" x14ac:dyDescent="0.25">
      <c r="AG303" s="129">
        <v>38</v>
      </c>
      <c r="AH303" s="129" t="s">
        <v>1474</v>
      </c>
      <c r="AI303" s="131">
        <f>DATE(YEAR(INDEX($B$30:$N$35,INT((AG303+11)/12)+1,1)),IF(MOD(AG303,12)&lt;&gt;0,MOD(AG303,12),12),1)</f>
        <v>40940</v>
      </c>
      <c r="AJ303" s="129">
        <f>INDEX($C$31:$N$35,INT((AG303+11)/12),AG303-(12*(INT((AG303+11)/12)-1)))</f>
        <v>148616.32999999999</v>
      </c>
      <c r="AK303" s="129">
        <f t="array" ref="AK303">INDEX($P$31:$P$35,MATCH(AM303&amp;YEAR(AI303),$A$31:$A$35&amp;YEAR($B$31:$B$35),0))</f>
        <v>0</v>
      </c>
      <c r="AL303" s="129" t="s">
        <v>1475</v>
      </c>
      <c r="AM303" s="129" t="str">
        <f>INDEX($A$31:$A$35,INT((AG303+11)/12))</f>
        <v>Transfer from Other Funds (370-**)</v>
      </c>
    </row>
    <row r="304" spans="33:39" x14ac:dyDescent="0.25">
      <c r="AG304" s="129">
        <v>39</v>
      </c>
      <c r="AH304" s="129" t="s">
        <v>1474</v>
      </c>
      <c r="AI304" s="131">
        <f>DATE(YEAR(INDEX($B$30:$N$35,INT((AG304+11)/12)+1,1)),IF(MOD(AG304,12)&lt;&gt;0,MOD(AG304,12),12),1)</f>
        <v>40969</v>
      </c>
      <c r="AJ304" s="129">
        <f>INDEX($C$31:$N$35,INT((AG304+11)/12),AG304-(12*(INT((AG304+11)/12)-1)))</f>
        <v>148616.32999999999</v>
      </c>
      <c r="AK304" s="129">
        <f t="array" ref="AK304">INDEX($P$31:$P$35,MATCH(AM304&amp;YEAR(AI304),$A$31:$A$35&amp;YEAR($B$31:$B$35),0))</f>
        <v>0</v>
      </c>
      <c r="AL304" s="129" t="s">
        <v>1475</v>
      </c>
      <c r="AM304" s="129" t="str">
        <f>INDEX($A$31:$A$35,INT((AG304+11)/12))</f>
        <v>Transfer from Other Funds (370-**)</v>
      </c>
    </row>
    <row r="305" spans="33:39" x14ac:dyDescent="0.25">
      <c r="AG305" s="129">
        <v>40</v>
      </c>
      <c r="AH305" s="129" t="s">
        <v>1474</v>
      </c>
      <c r="AI305" s="131">
        <f>DATE(YEAR(INDEX($B$30:$N$35,INT((AG305+11)/12)+1,1)),IF(MOD(AG305,12)&lt;&gt;0,MOD(AG305,12),12),1)</f>
        <v>41000</v>
      </c>
      <c r="AJ305" s="129">
        <f>INDEX($C$31:$N$35,INT((AG305+11)/12),AG305-(12*(INT((AG305+11)/12)-1)))</f>
        <v>148616.32999999999</v>
      </c>
      <c r="AK305" s="129">
        <f t="array" ref="AK305">INDEX($P$31:$P$35,MATCH(AM305&amp;YEAR(AI305),$A$31:$A$35&amp;YEAR($B$31:$B$35),0))</f>
        <v>0</v>
      </c>
      <c r="AL305" s="129" t="s">
        <v>1475</v>
      </c>
      <c r="AM305" s="129" t="str">
        <f>INDEX($A$31:$A$35,INT((AG305+11)/12))</f>
        <v>Transfer from Other Funds (370-**)</v>
      </c>
    </row>
    <row r="306" spans="33:39" x14ac:dyDescent="0.25">
      <c r="AG306" s="129">
        <v>41</v>
      </c>
      <c r="AH306" s="129" t="s">
        <v>1474</v>
      </c>
      <c r="AI306" s="131">
        <f>DATE(YEAR(INDEX($B$30:$N$35,INT((AG306+11)/12)+1,1)),IF(MOD(AG306,12)&lt;&gt;0,MOD(AG306,12),12),1)</f>
        <v>41030</v>
      </c>
      <c r="AJ306" s="129">
        <f>INDEX($C$31:$N$35,INT((AG306+11)/12),AG306-(12*(INT((AG306+11)/12)-1)))</f>
        <v>148616.32999999999</v>
      </c>
      <c r="AK306" s="129">
        <f t="array" ref="AK306">INDEX($P$31:$P$35,MATCH(AM306&amp;YEAR(AI306),$A$31:$A$35&amp;YEAR($B$31:$B$35),0))</f>
        <v>0</v>
      </c>
      <c r="AL306" s="129" t="s">
        <v>1475</v>
      </c>
      <c r="AM306" s="129" t="str">
        <f>INDEX($A$31:$A$35,INT((AG306+11)/12))</f>
        <v>Transfer from Other Funds (370-**)</v>
      </c>
    </row>
    <row r="307" spans="33:39" x14ac:dyDescent="0.25">
      <c r="AG307" s="129">
        <v>42</v>
      </c>
      <c r="AH307" s="129" t="s">
        <v>1474</v>
      </c>
      <c r="AI307" s="131">
        <f>DATE(YEAR(INDEX($B$30:$N$35,INT((AG307+11)/12)+1,1)),IF(MOD(AG307,12)&lt;&gt;0,MOD(AG307,12),12),1)</f>
        <v>41061</v>
      </c>
      <c r="AJ307" s="129">
        <f>INDEX($C$31:$N$35,INT((AG307+11)/12),AG307-(12*(INT((AG307+11)/12)-1)))</f>
        <v>148616.32999999999</v>
      </c>
      <c r="AK307" s="129">
        <f t="array" ref="AK307">INDEX($P$31:$P$35,MATCH(AM307&amp;YEAR(AI307),$A$31:$A$35&amp;YEAR($B$31:$B$35),0))</f>
        <v>0</v>
      </c>
      <c r="AL307" s="129" t="s">
        <v>1475</v>
      </c>
      <c r="AM307" s="129" t="str">
        <f>INDEX($A$31:$A$35,INT((AG307+11)/12))</f>
        <v>Transfer from Other Funds (370-**)</v>
      </c>
    </row>
    <row r="308" spans="33:39" x14ac:dyDescent="0.25">
      <c r="AG308" s="129">
        <v>43</v>
      </c>
      <c r="AH308" s="129" t="s">
        <v>1474</v>
      </c>
      <c r="AI308" s="131">
        <f>DATE(YEAR(INDEX($B$30:$N$35,INT((AG308+11)/12)+1,1)),IF(MOD(AG308,12)&lt;&gt;0,MOD(AG308,12),12),1)</f>
        <v>41091</v>
      </c>
      <c r="AJ308" s="129">
        <f>INDEX($C$31:$N$35,INT((AG308+11)/12),AG308-(12*(INT((AG308+11)/12)-1)))</f>
        <v>148616.32999999999</v>
      </c>
      <c r="AK308" s="129">
        <f t="array" ref="AK308">INDEX($P$31:$P$35,MATCH(AM308&amp;YEAR(AI308),$A$31:$A$35&amp;YEAR($B$31:$B$35),0))</f>
        <v>0</v>
      </c>
      <c r="AL308" s="129" t="s">
        <v>1475</v>
      </c>
      <c r="AM308" s="129" t="str">
        <f>INDEX($A$31:$A$35,INT((AG308+11)/12))</f>
        <v>Transfer from Other Funds (370-**)</v>
      </c>
    </row>
    <row r="309" spans="33:39" x14ac:dyDescent="0.25">
      <c r="AG309" s="129">
        <v>44</v>
      </c>
      <c r="AH309" s="129" t="s">
        <v>1474</v>
      </c>
      <c r="AI309" s="131">
        <f>DATE(YEAR(INDEX($B$30:$N$35,INT((AG309+11)/12)+1,1)),IF(MOD(AG309,12)&lt;&gt;0,MOD(AG309,12),12),1)</f>
        <v>41122</v>
      </c>
      <c r="AJ309" s="129">
        <f>INDEX($C$31:$N$35,INT((AG309+11)/12),AG309-(12*(INT((AG309+11)/12)-1)))</f>
        <v>148616.32999999999</v>
      </c>
      <c r="AK309" s="129">
        <f t="array" ref="AK309">INDEX($P$31:$P$35,MATCH(AM309&amp;YEAR(AI309),$A$31:$A$35&amp;YEAR($B$31:$B$35),0))</f>
        <v>0</v>
      </c>
      <c r="AL309" s="129" t="s">
        <v>1475</v>
      </c>
      <c r="AM309" s="129" t="str">
        <f>INDEX($A$31:$A$35,INT((AG309+11)/12))</f>
        <v>Transfer from Other Funds (370-**)</v>
      </c>
    </row>
    <row r="310" spans="33:39" x14ac:dyDescent="0.25">
      <c r="AG310" s="129">
        <v>45</v>
      </c>
      <c r="AH310" s="129" t="s">
        <v>1474</v>
      </c>
      <c r="AI310" s="131">
        <f>DATE(YEAR(INDEX($B$30:$N$35,INT((AG310+11)/12)+1,1)),IF(MOD(AG310,12)&lt;&gt;0,MOD(AG310,12),12),1)</f>
        <v>41153</v>
      </c>
      <c r="AJ310" s="129">
        <f>INDEX($C$31:$N$35,INT((AG310+11)/12),AG310-(12*(INT((AG310+11)/12)-1)))</f>
        <v>148616.32999999999</v>
      </c>
      <c r="AK310" s="129">
        <f t="array" ref="AK310">INDEX($P$31:$P$35,MATCH(AM310&amp;YEAR(AI310),$A$31:$A$35&amp;YEAR($B$31:$B$35),0))</f>
        <v>0</v>
      </c>
      <c r="AL310" s="129" t="s">
        <v>1475</v>
      </c>
      <c r="AM310" s="129" t="str">
        <f>INDEX($A$31:$A$35,INT((AG310+11)/12))</f>
        <v>Transfer from Other Funds (370-**)</v>
      </c>
    </row>
    <row r="311" spans="33:39" x14ac:dyDescent="0.25">
      <c r="AG311" s="129">
        <v>46</v>
      </c>
      <c r="AH311" s="129" t="s">
        <v>1474</v>
      </c>
      <c r="AI311" s="131">
        <f>DATE(YEAR(INDEX($B$30:$N$35,INT((AG311+11)/12)+1,1)),IF(MOD(AG311,12)&lt;&gt;0,MOD(AG311,12),12),1)</f>
        <v>41183</v>
      </c>
      <c r="AJ311" s="129">
        <f>INDEX($C$31:$N$35,INT((AG311+11)/12),AG311-(12*(INT((AG311+11)/12)-1)))</f>
        <v>934685.64</v>
      </c>
      <c r="AK311" s="129">
        <f t="array" ref="AK311">INDEX($P$31:$P$35,MATCH(AM311&amp;YEAR(AI311),$A$31:$A$35&amp;YEAR($B$31:$B$35),0))</f>
        <v>0</v>
      </c>
      <c r="AL311" s="129" t="s">
        <v>1475</v>
      </c>
      <c r="AM311" s="129" t="str">
        <f>INDEX($A$31:$A$35,INT((AG311+11)/12))</f>
        <v>Transfer from Other Funds (370-**)</v>
      </c>
    </row>
    <row r="312" spans="33:39" x14ac:dyDescent="0.25">
      <c r="AG312" s="129">
        <v>47</v>
      </c>
      <c r="AH312" s="129" t="s">
        <v>1474</v>
      </c>
      <c r="AI312" s="131">
        <f>DATE(YEAR(INDEX($B$30:$N$35,INT((AG312+11)/12)+1,1)),IF(MOD(AG312,12)&lt;&gt;0,MOD(AG312,12),12),1)</f>
        <v>41214</v>
      </c>
      <c r="AJ312" s="129">
        <f>INDEX($C$31:$N$35,INT((AG312+11)/12),AG312-(12*(INT((AG312+11)/12)-1)))</f>
        <v>187683.61</v>
      </c>
      <c r="AK312" s="129">
        <f t="array" ref="AK312">INDEX($P$31:$P$35,MATCH(AM312&amp;YEAR(AI312),$A$31:$A$35&amp;YEAR($B$31:$B$35),0))</f>
        <v>0</v>
      </c>
      <c r="AL312" s="129" t="s">
        <v>1475</v>
      </c>
      <c r="AM312" s="129" t="str">
        <f>INDEX($A$31:$A$35,INT((AG312+11)/12))</f>
        <v>Transfer from Other Funds (370-**)</v>
      </c>
    </row>
    <row r="313" spans="33:39" x14ac:dyDescent="0.25">
      <c r="AG313" s="129">
        <v>48</v>
      </c>
      <c r="AH313" s="129" t="s">
        <v>1474</v>
      </c>
      <c r="AI313" s="131">
        <f>DATE(YEAR(INDEX($B$30:$N$35,INT((AG313+11)/12)+1,1)),IF(MOD(AG313,12)&lt;&gt;0,MOD(AG313,12),12),1)</f>
        <v>41244</v>
      </c>
      <c r="AJ313" s="129">
        <f>INDEX($C$31:$N$35,INT((AG313+11)/12),AG313-(12*(INT((AG313+11)/12)-1)))</f>
        <v>187683.61</v>
      </c>
      <c r="AK313" s="129">
        <f t="array" ref="AK313">INDEX($P$31:$P$35,MATCH(AM313&amp;YEAR(AI313),$A$31:$A$35&amp;YEAR($B$31:$B$35),0))</f>
        <v>0</v>
      </c>
      <c r="AL313" s="129" t="s">
        <v>1475</v>
      </c>
      <c r="AM313" s="129" t="str">
        <f>INDEX($A$31:$A$35,INT((AG313+11)/12))</f>
        <v>Transfer from Other Funds (370-**)</v>
      </c>
    </row>
    <row r="314" spans="33:39" x14ac:dyDescent="0.25">
      <c r="AG314" s="129">
        <v>49</v>
      </c>
      <c r="AH314" s="129" t="s">
        <v>1474</v>
      </c>
      <c r="AI314" s="131">
        <f>DATE(YEAR(INDEX($B$30:$N$35,INT((AG314+11)/12)+1,1)),IF(MOD(AG314,12)&lt;&gt;0,MOD(AG314,12),12),1)</f>
        <v>41275</v>
      </c>
      <c r="AJ314" s="129">
        <f>INDEX($C$31:$N$35,INT((AG314+11)/12),AG314-(12*(INT((AG314+11)/12)-1)))</f>
        <v>187683.61</v>
      </c>
      <c r="AK314" s="129">
        <f t="array" ref="AK314">INDEX($P$31:$P$35,MATCH(AM314&amp;YEAR(AI314),$A$31:$A$35&amp;YEAR($B$31:$B$35),0))</f>
        <v>0</v>
      </c>
      <c r="AL314" s="129" t="s">
        <v>1475</v>
      </c>
      <c r="AM314" s="129" t="str">
        <f>INDEX($A$31:$A$35,INT((AG314+11)/12))</f>
        <v>Transfer from Other Funds (370-**)</v>
      </c>
    </row>
    <row r="315" spans="33:39" x14ac:dyDescent="0.25">
      <c r="AG315" s="129">
        <v>50</v>
      </c>
      <c r="AH315" s="129" t="s">
        <v>1474</v>
      </c>
      <c r="AI315" s="131">
        <f>DATE(YEAR(INDEX($B$30:$N$35,INT((AG315+11)/12)+1,1)),IF(MOD(AG315,12)&lt;&gt;0,MOD(AG315,12),12),1)</f>
        <v>41306</v>
      </c>
      <c r="AJ315" s="129">
        <f>INDEX($C$31:$N$35,INT((AG315+11)/12),AG315-(12*(INT((AG315+11)/12)-1)))</f>
        <v>187683.61</v>
      </c>
      <c r="AK315" s="129">
        <f t="array" ref="AK315">INDEX($P$31:$P$35,MATCH(AM315&amp;YEAR(AI315),$A$31:$A$35&amp;YEAR($B$31:$B$35),0))</f>
        <v>0</v>
      </c>
      <c r="AL315" s="129" t="s">
        <v>1475</v>
      </c>
      <c r="AM315" s="129" t="str">
        <f>INDEX($A$31:$A$35,INT((AG315+11)/12))</f>
        <v>Transfer from Other Funds (370-**)</v>
      </c>
    </row>
    <row r="316" spans="33:39" x14ac:dyDescent="0.25">
      <c r="AG316" s="129">
        <v>51</v>
      </c>
      <c r="AH316" s="129" t="s">
        <v>1474</v>
      </c>
      <c r="AI316" s="131">
        <f>DATE(YEAR(INDEX($B$30:$N$35,INT((AG316+11)/12)+1,1)),IF(MOD(AG316,12)&lt;&gt;0,MOD(AG316,12),12),1)</f>
        <v>41334</v>
      </c>
      <c r="AJ316" s="129">
        <f>INDEX($C$31:$N$35,INT((AG316+11)/12),AG316-(12*(INT((AG316+11)/12)-1)))</f>
        <v>188285.53</v>
      </c>
      <c r="AK316" s="129">
        <f t="array" ref="AK316">INDEX($P$31:$P$35,MATCH(AM316&amp;YEAR(AI316),$A$31:$A$35&amp;YEAR($B$31:$B$35),0))</f>
        <v>0</v>
      </c>
      <c r="AL316" s="129" t="s">
        <v>1475</v>
      </c>
      <c r="AM316" s="129" t="str">
        <f>INDEX($A$31:$A$35,INT((AG316+11)/12))</f>
        <v>Transfer from Other Funds (370-**)</v>
      </c>
    </row>
    <row r="317" spans="33:39" x14ac:dyDescent="0.25">
      <c r="AG317" s="129">
        <v>52</v>
      </c>
      <c r="AH317" s="129" t="s">
        <v>1474</v>
      </c>
      <c r="AI317" s="131">
        <f>DATE(YEAR(INDEX($B$30:$N$35,INT((AG317+11)/12)+1,1)),IF(MOD(AG317,12)&lt;&gt;0,MOD(AG317,12),12),1)</f>
        <v>41365</v>
      </c>
      <c r="AJ317" s="129">
        <f>INDEX($C$31:$N$35,INT((AG317+11)/12),AG317-(12*(INT((AG317+11)/12)-1)))</f>
        <v>188285.53</v>
      </c>
      <c r="AK317" s="129">
        <f t="array" ref="AK317">INDEX($P$31:$P$35,MATCH(AM317&amp;YEAR(AI317),$A$31:$A$35&amp;YEAR($B$31:$B$35),0))</f>
        <v>0</v>
      </c>
      <c r="AL317" s="129" t="s">
        <v>1475</v>
      </c>
      <c r="AM317" s="129" t="str">
        <f>INDEX($A$31:$A$35,INT((AG317+11)/12))</f>
        <v>Transfer from Other Funds (370-**)</v>
      </c>
    </row>
    <row r="318" spans="33:39" x14ac:dyDescent="0.25">
      <c r="AG318" s="129">
        <v>53</v>
      </c>
      <c r="AH318" s="129" t="s">
        <v>1474</v>
      </c>
      <c r="AI318" s="131">
        <f>DATE(YEAR(INDEX($B$30:$N$35,INT((AG318+11)/12)+1,1)),IF(MOD(AG318,12)&lt;&gt;0,MOD(AG318,12),12),1)</f>
        <v>41395</v>
      </c>
      <c r="AJ318" s="129">
        <f>INDEX($C$31:$N$35,INT((AG318+11)/12),AG318-(12*(INT((AG318+11)/12)-1)))</f>
        <v>188285.53</v>
      </c>
      <c r="AK318" s="129">
        <f t="array" ref="AK318">INDEX($P$31:$P$35,MATCH(AM318&amp;YEAR(AI318),$A$31:$A$35&amp;YEAR($B$31:$B$35),0))</f>
        <v>0</v>
      </c>
      <c r="AL318" s="129" t="s">
        <v>1475</v>
      </c>
      <c r="AM318" s="129" t="str">
        <f>INDEX($A$31:$A$35,INT((AG318+11)/12))</f>
        <v>Transfer from Other Funds (370-**)</v>
      </c>
    </row>
    <row r="319" spans="33:39" x14ac:dyDescent="0.25">
      <c r="AG319" s="129">
        <v>54</v>
      </c>
      <c r="AH319" s="129" t="s">
        <v>1474</v>
      </c>
      <c r="AI319" s="131">
        <f>DATE(YEAR(INDEX($B$30:$N$35,INT((AG319+11)/12)+1,1)),IF(MOD(AG319,12)&lt;&gt;0,MOD(AG319,12),12),1)</f>
        <v>41426</v>
      </c>
      <c r="AJ319" s="129">
        <f>INDEX($C$31:$N$35,INT((AG319+11)/12),AG319-(12*(INT((AG319+11)/12)-1)))</f>
        <v>0</v>
      </c>
      <c r="AK319" s="129">
        <f t="array" ref="AK319">INDEX($P$31:$P$35,MATCH(AM319&amp;YEAR(AI319),$A$31:$A$35&amp;YEAR($B$31:$B$35),0))</f>
        <v>0</v>
      </c>
      <c r="AL319" s="129" t="s">
        <v>1475</v>
      </c>
      <c r="AM319" s="129" t="str">
        <f>INDEX($A$31:$A$35,INT((AG319+11)/12))</f>
        <v>Transfer from Other Funds (370-**)</v>
      </c>
    </row>
    <row r="320" spans="33:39" x14ac:dyDescent="0.25">
      <c r="AG320" s="129">
        <v>55</v>
      </c>
      <c r="AH320" s="129" t="s">
        <v>1474</v>
      </c>
      <c r="AI320" s="131">
        <f>DATE(YEAR(INDEX($B$30:$N$35,INT((AG320+11)/12)+1,1)),IF(MOD(AG320,12)&lt;&gt;0,MOD(AG320,12),12),1)</f>
        <v>41456</v>
      </c>
      <c r="AJ320" s="129">
        <f>INDEX($C$31:$N$35,INT((AG320+11)/12),AG320-(12*(INT((AG320+11)/12)-1)))</f>
        <v>0</v>
      </c>
      <c r="AK320" s="129">
        <f t="array" ref="AK320">INDEX($P$31:$P$35,MATCH(AM320&amp;YEAR(AI320),$A$31:$A$35&amp;YEAR($B$31:$B$35),0))</f>
        <v>0</v>
      </c>
      <c r="AL320" s="129" t="s">
        <v>1475</v>
      </c>
      <c r="AM320" s="129" t="str">
        <f>INDEX($A$31:$A$35,INT((AG320+11)/12))</f>
        <v>Transfer from Other Funds (370-**)</v>
      </c>
    </row>
    <row r="321" spans="32:39" x14ac:dyDescent="0.25">
      <c r="AG321" s="129">
        <v>56</v>
      </c>
      <c r="AH321" s="129" t="s">
        <v>1474</v>
      </c>
      <c r="AI321" s="131">
        <f>DATE(YEAR(INDEX($B$30:$N$35,INT((AG321+11)/12)+1,1)),IF(MOD(AG321,12)&lt;&gt;0,MOD(AG321,12),12),1)</f>
        <v>41487</v>
      </c>
      <c r="AJ321" s="129">
        <f>INDEX($C$31:$N$35,INT((AG321+11)/12),AG321-(12*(INT((AG321+11)/12)-1)))</f>
        <v>0</v>
      </c>
      <c r="AK321" s="129">
        <f t="array" ref="AK321">INDEX($P$31:$P$35,MATCH(AM321&amp;YEAR(AI321),$A$31:$A$35&amp;YEAR($B$31:$B$35),0))</f>
        <v>0</v>
      </c>
      <c r="AL321" s="129" t="s">
        <v>1475</v>
      </c>
      <c r="AM321" s="129" t="str">
        <f>INDEX($A$31:$A$35,INT((AG321+11)/12))</f>
        <v>Transfer from Other Funds (370-**)</v>
      </c>
    </row>
    <row r="322" spans="32:39" x14ac:dyDescent="0.25">
      <c r="AG322" s="129">
        <v>57</v>
      </c>
      <c r="AH322" s="129" t="s">
        <v>1474</v>
      </c>
      <c r="AI322" s="131">
        <f>DATE(YEAR(INDEX($B$30:$N$35,INT((AG322+11)/12)+1,1)),IF(MOD(AG322,12)&lt;&gt;0,MOD(AG322,12),12),1)</f>
        <v>41518</v>
      </c>
      <c r="AJ322" s="129">
        <f>INDEX($C$31:$N$35,INT((AG322+11)/12),AG322-(12*(INT((AG322+11)/12)-1)))</f>
        <v>0</v>
      </c>
      <c r="AK322" s="129">
        <f t="array" ref="AK322">INDEX($P$31:$P$35,MATCH(AM322&amp;YEAR(AI322),$A$31:$A$35&amp;YEAR($B$31:$B$35),0))</f>
        <v>0</v>
      </c>
      <c r="AL322" s="129" t="s">
        <v>1475</v>
      </c>
      <c r="AM322" s="129" t="str">
        <f>INDEX($A$31:$A$35,INT((AG322+11)/12))</f>
        <v>Transfer from Other Funds (370-**)</v>
      </c>
    </row>
    <row r="323" spans="32:39" x14ac:dyDescent="0.25">
      <c r="AG323" s="129">
        <v>58</v>
      </c>
      <c r="AH323" s="129" t="s">
        <v>1474</v>
      </c>
      <c r="AI323" s="131">
        <f>DATE(YEAR(INDEX($B$30:$N$35,INT((AG323+11)/12)+1,1)),IF(MOD(AG323,12)&lt;&gt;0,MOD(AG323,12),12),1)</f>
        <v>41548</v>
      </c>
      <c r="AJ323" s="129">
        <f>INDEX($C$31:$N$35,INT((AG323+11)/12),AG323-(12*(INT((AG323+11)/12)-1)))</f>
        <v>0</v>
      </c>
      <c r="AK323" s="129">
        <f t="array" ref="AK323">INDEX($P$31:$P$35,MATCH(AM323&amp;YEAR(AI323),$A$31:$A$35&amp;YEAR($B$31:$B$35),0))</f>
        <v>0</v>
      </c>
      <c r="AL323" s="129" t="s">
        <v>1475</v>
      </c>
      <c r="AM323" s="129" t="str">
        <f>INDEX($A$31:$A$35,INT((AG323+11)/12))</f>
        <v>Transfer from Other Funds (370-**)</v>
      </c>
    </row>
    <row r="324" spans="32:39" x14ac:dyDescent="0.25">
      <c r="AG324" s="129">
        <v>59</v>
      </c>
      <c r="AH324" s="129" t="s">
        <v>1474</v>
      </c>
      <c r="AI324" s="131">
        <f>DATE(YEAR(INDEX($B$30:$N$35,INT((AG324+11)/12)+1,1)),IF(MOD(AG324,12)&lt;&gt;0,MOD(AG324,12),12),1)</f>
        <v>41579</v>
      </c>
      <c r="AJ324" s="129">
        <f>INDEX($C$31:$N$35,INT((AG324+11)/12),AG324-(12*(INT((AG324+11)/12)-1)))</f>
        <v>0</v>
      </c>
      <c r="AK324" s="129">
        <f t="array" ref="AK324">INDEX($P$31:$P$35,MATCH(AM324&amp;YEAR(AI324),$A$31:$A$35&amp;YEAR($B$31:$B$35),0))</f>
        <v>0</v>
      </c>
      <c r="AL324" s="129" t="s">
        <v>1475</v>
      </c>
      <c r="AM324" s="129" t="str">
        <f>INDEX($A$31:$A$35,INT((AG324+11)/12))</f>
        <v>Transfer from Other Funds (370-**)</v>
      </c>
    </row>
    <row r="325" spans="32:39" x14ac:dyDescent="0.25">
      <c r="AG325" s="129">
        <v>60</v>
      </c>
      <c r="AH325" s="129" t="s">
        <v>1474</v>
      </c>
      <c r="AI325" s="131">
        <f>DATE(YEAR(INDEX($B$30:$N$35,INT((AG325+11)/12)+1,1)),IF(MOD(AG325,12)&lt;&gt;0,MOD(AG325,12),12),1)</f>
        <v>41609</v>
      </c>
      <c r="AJ325" s="129">
        <f>INDEX($C$31:$N$35,INT((AG325+11)/12),AG325-(12*(INT((AG325+11)/12)-1)))</f>
        <v>0</v>
      </c>
      <c r="AK325" s="129">
        <f t="array" ref="AK325">INDEX($P$31:$P$35,MATCH(AM325&amp;YEAR(AI325),$A$31:$A$35&amp;YEAR($B$31:$B$35),0))</f>
        <v>0</v>
      </c>
      <c r="AL325" s="129" t="s">
        <v>1475</v>
      </c>
      <c r="AM325" s="129" t="str">
        <f>INDEX($A$31:$A$35,INT((AG325+11)/12))</f>
        <v>Transfer from Other Funds (370-**)</v>
      </c>
    </row>
    <row r="326" spans="32:39" x14ac:dyDescent="0.25">
      <c r="AF326" s="129">
        <f>4*12</f>
        <v>48</v>
      </c>
      <c r="AG326" s="129">
        <v>1</v>
      </c>
      <c r="AH326" s="129" t="s">
        <v>1474</v>
      </c>
      <c r="AI326" s="131">
        <f>DATE(YEAR(INDEX($B$41:$N$45,INT((AG326+11)/12)+1,1)),IF(MOD(AG326,12)&lt;&gt;0,MOD(AG326,12),12),1)</f>
        <v>40909</v>
      </c>
      <c r="AJ326" s="129">
        <f>INDEX($C$42:$N$45,INT((AG326+11)/12),AG326-(12*(INT((AG326+11)/12)-1)))</f>
        <v>0</v>
      </c>
      <c r="AK326" s="129">
        <f t="array" ref="AK326">INDEX($P$42:$P$45,MATCH(AM326&amp;YEAR(AI326),$A$42:$A$45&amp;YEAR($B$42:$B$45),0))</f>
        <v>0</v>
      </c>
      <c r="AL326" s="129" t="s">
        <v>1473</v>
      </c>
      <c r="AM326" s="129" t="str">
        <f>INDEX($A$42:$A$45,INT((AG326+11)/12))</f>
        <v>Interest Earnings (361-*)</v>
      </c>
    </row>
    <row r="327" spans="32:39" x14ac:dyDescent="0.25">
      <c r="AG327" s="129">
        <v>2</v>
      </c>
      <c r="AH327" s="129" t="s">
        <v>1474</v>
      </c>
      <c r="AI327" s="131">
        <f>DATE(YEAR(INDEX($B$41:$N$45,INT((AG327+11)/12)+1,1)),IF(MOD(AG327,12)&lt;&gt;0,MOD(AG327,12),12),1)</f>
        <v>40940</v>
      </c>
      <c r="AJ327" s="129">
        <f>INDEX($C$42:$N$45,INT((AG327+11)/12),AG327-(12*(INT((AG327+11)/12)-1)))</f>
        <v>0</v>
      </c>
      <c r="AK327" s="129">
        <f t="array" ref="AK327">INDEX($P$42:$P$45,MATCH(AM327&amp;YEAR(AI327),$A$42:$A$45&amp;YEAR($B$42:$B$45),0))</f>
        <v>0</v>
      </c>
      <c r="AL327" s="129" t="s">
        <v>1473</v>
      </c>
      <c r="AM327" s="129" t="str">
        <f>INDEX($A$42:$A$45,INT((AG327+11)/12))</f>
        <v>Interest Earnings (361-*)</v>
      </c>
    </row>
    <row r="328" spans="32:39" x14ac:dyDescent="0.25">
      <c r="AG328" s="129">
        <v>3</v>
      </c>
      <c r="AH328" s="129" t="s">
        <v>1474</v>
      </c>
      <c r="AI328" s="131">
        <f>DATE(YEAR(INDEX($B$41:$N$45,INT((AG328+11)/12)+1,1)),IF(MOD(AG328,12)&lt;&gt;0,MOD(AG328,12),12),1)</f>
        <v>40969</v>
      </c>
      <c r="AJ328" s="129">
        <f>INDEX($C$42:$N$45,INT((AG328+11)/12),AG328-(12*(INT((AG328+11)/12)-1)))</f>
        <v>0</v>
      </c>
      <c r="AK328" s="129">
        <f t="array" ref="AK328">INDEX($P$42:$P$45,MATCH(AM328&amp;YEAR(AI328),$A$42:$A$45&amp;YEAR($B$42:$B$45),0))</f>
        <v>0</v>
      </c>
      <c r="AL328" s="129" t="s">
        <v>1473</v>
      </c>
      <c r="AM328" s="129" t="str">
        <f>INDEX($A$42:$A$45,INT((AG328+11)/12))</f>
        <v>Interest Earnings (361-*)</v>
      </c>
    </row>
    <row r="329" spans="32:39" x14ac:dyDescent="0.25">
      <c r="AG329" s="129">
        <v>4</v>
      </c>
      <c r="AH329" s="129" t="s">
        <v>1474</v>
      </c>
      <c r="AI329" s="131">
        <f>DATE(YEAR(INDEX($B$41:$N$45,INT((AG329+11)/12)+1,1)),IF(MOD(AG329,12)&lt;&gt;0,MOD(AG329,12),12),1)</f>
        <v>41000</v>
      </c>
      <c r="AJ329" s="129">
        <f>INDEX($C$42:$N$45,INT((AG329+11)/12),AG329-(12*(INT((AG329+11)/12)-1)))</f>
        <v>0</v>
      </c>
      <c r="AK329" s="129">
        <f t="array" ref="AK329">INDEX($P$42:$P$45,MATCH(AM329&amp;YEAR(AI329),$A$42:$A$45&amp;YEAR($B$42:$B$45),0))</f>
        <v>0</v>
      </c>
      <c r="AL329" s="129" t="s">
        <v>1473</v>
      </c>
      <c r="AM329" s="129" t="str">
        <f>INDEX($A$42:$A$45,INT((AG329+11)/12))</f>
        <v>Interest Earnings (361-*)</v>
      </c>
    </row>
    <row r="330" spans="32:39" x14ac:dyDescent="0.25">
      <c r="AG330" s="129">
        <v>5</v>
      </c>
      <c r="AH330" s="129" t="s">
        <v>1474</v>
      </c>
      <c r="AI330" s="131">
        <f>DATE(YEAR(INDEX($B$41:$N$45,INT((AG330+11)/12)+1,1)),IF(MOD(AG330,12)&lt;&gt;0,MOD(AG330,12),12),1)</f>
        <v>41030</v>
      </c>
      <c r="AJ330" s="129">
        <f>INDEX($C$42:$N$45,INT((AG330+11)/12),AG330-(12*(INT((AG330+11)/12)-1)))</f>
        <v>0</v>
      </c>
      <c r="AK330" s="129">
        <f t="array" ref="AK330">INDEX($P$42:$P$45,MATCH(AM330&amp;YEAR(AI330),$A$42:$A$45&amp;YEAR($B$42:$B$45),0))</f>
        <v>0</v>
      </c>
      <c r="AL330" s="129" t="s">
        <v>1473</v>
      </c>
      <c r="AM330" s="129" t="str">
        <f>INDEX($A$42:$A$45,INT((AG330+11)/12))</f>
        <v>Interest Earnings (361-*)</v>
      </c>
    </row>
    <row r="331" spans="32:39" x14ac:dyDescent="0.25">
      <c r="AG331" s="129">
        <v>6</v>
      </c>
      <c r="AH331" s="129" t="s">
        <v>1474</v>
      </c>
      <c r="AI331" s="131">
        <f>DATE(YEAR(INDEX($B$41:$N$45,INT((AG331+11)/12)+1,1)),IF(MOD(AG331,12)&lt;&gt;0,MOD(AG331,12),12),1)</f>
        <v>41061</v>
      </c>
      <c r="AJ331" s="129">
        <f>INDEX($C$42:$N$45,INT((AG331+11)/12),AG331-(12*(INT((AG331+11)/12)-1)))</f>
        <v>0</v>
      </c>
      <c r="AK331" s="129">
        <f t="array" ref="AK331">INDEX($P$42:$P$45,MATCH(AM331&amp;YEAR(AI331),$A$42:$A$45&amp;YEAR($B$42:$B$45),0))</f>
        <v>0</v>
      </c>
      <c r="AL331" s="129" t="s">
        <v>1473</v>
      </c>
      <c r="AM331" s="129" t="str">
        <f>INDEX($A$42:$A$45,INT((AG331+11)/12))</f>
        <v>Interest Earnings (361-*)</v>
      </c>
    </row>
    <row r="332" spans="32:39" x14ac:dyDescent="0.25">
      <c r="AG332" s="129">
        <v>7</v>
      </c>
      <c r="AH332" s="129" t="s">
        <v>1474</v>
      </c>
      <c r="AI332" s="131">
        <f>DATE(YEAR(INDEX($B$41:$N$45,INT((AG332+11)/12)+1,1)),IF(MOD(AG332,12)&lt;&gt;0,MOD(AG332,12),12),1)</f>
        <v>41091</v>
      </c>
      <c r="AJ332" s="129">
        <f>INDEX($C$42:$N$45,INT((AG332+11)/12),AG332-(12*(INT((AG332+11)/12)-1)))</f>
        <v>0</v>
      </c>
      <c r="AK332" s="129">
        <f t="array" ref="AK332">INDEX($P$42:$P$45,MATCH(AM332&amp;YEAR(AI332),$A$42:$A$45&amp;YEAR($B$42:$B$45),0))</f>
        <v>0</v>
      </c>
      <c r="AL332" s="129" t="s">
        <v>1473</v>
      </c>
      <c r="AM332" s="129" t="str">
        <f>INDEX($A$42:$A$45,INT((AG332+11)/12))</f>
        <v>Interest Earnings (361-*)</v>
      </c>
    </row>
    <row r="333" spans="32:39" x14ac:dyDescent="0.25">
      <c r="AG333" s="129">
        <v>8</v>
      </c>
      <c r="AH333" s="129" t="s">
        <v>1474</v>
      </c>
      <c r="AI333" s="131">
        <f>DATE(YEAR(INDEX($B$41:$N$45,INT((AG333+11)/12)+1,1)),IF(MOD(AG333,12)&lt;&gt;0,MOD(AG333,12),12),1)</f>
        <v>41122</v>
      </c>
      <c r="AJ333" s="129">
        <f>INDEX($C$42:$N$45,INT((AG333+11)/12),AG333-(12*(INT((AG333+11)/12)-1)))</f>
        <v>0</v>
      </c>
      <c r="AK333" s="129">
        <f t="array" ref="AK333">INDEX($P$42:$P$45,MATCH(AM333&amp;YEAR(AI333),$A$42:$A$45&amp;YEAR($B$42:$B$45),0))</f>
        <v>0</v>
      </c>
      <c r="AL333" s="129" t="s">
        <v>1473</v>
      </c>
      <c r="AM333" s="129" t="str">
        <f>INDEX($A$42:$A$45,INT((AG333+11)/12))</f>
        <v>Interest Earnings (361-*)</v>
      </c>
    </row>
    <row r="334" spans="32:39" x14ac:dyDescent="0.25">
      <c r="AG334" s="129">
        <v>9</v>
      </c>
      <c r="AH334" s="129" t="s">
        <v>1474</v>
      </c>
      <c r="AI334" s="131">
        <f>DATE(YEAR(INDEX($B$41:$N$45,INT((AG334+11)/12)+1,1)),IF(MOD(AG334,12)&lt;&gt;0,MOD(AG334,12),12),1)</f>
        <v>41153</v>
      </c>
      <c r="AJ334" s="129">
        <f>INDEX($C$42:$N$45,INT((AG334+11)/12),AG334-(12*(INT((AG334+11)/12)-1)))</f>
        <v>0</v>
      </c>
      <c r="AK334" s="129">
        <f t="array" ref="AK334">INDEX($P$42:$P$45,MATCH(AM334&amp;YEAR(AI334),$A$42:$A$45&amp;YEAR($B$42:$B$45),0))</f>
        <v>0</v>
      </c>
      <c r="AL334" s="129" t="s">
        <v>1473</v>
      </c>
      <c r="AM334" s="129" t="str">
        <f>INDEX($A$42:$A$45,INT((AG334+11)/12))</f>
        <v>Interest Earnings (361-*)</v>
      </c>
    </row>
    <row r="335" spans="32:39" x14ac:dyDescent="0.25">
      <c r="AG335" s="129">
        <v>10</v>
      </c>
      <c r="AH335" s="129" t="s">
        <v>1474</v>
      </c>
      <c r="AI335" s="131">
        <f>DATE(YEAR(INDEX($B$41:$N$45,INT((AG335+11)/12)+1,1)),IF(MOD(AG335,12)&lt;&gt;0,MOD(AG335,12),12),1)</f>
        <v>41183</v>
      </c>
      <c r="AJ335" s="129">
        <f>INDEX($C$42:$N$45,INT((AG335+11)/12),AG335-(12*(INT((AG335+11)/12)-1)))</f>
        <v>0</v>
      </c>
      <c r="AK335" s="129">
        <f t="array" ref="AK335">INDEX($P$42:$P$45,MATCH(AM335&amp;YEAR(AI335),$A$42:$A$45&amp;YEAR($B$42:$B$45),0))</f>
        <v>0</v>
      </c>
      <c r="AL335" s="129" t="s">
        <v>1473</v>
      </c>
      <c r="AM335" s="129" t="str">
        <f>INDEX($A$42:$A$45,INT((AG335+11)/12))</f>
        <v>Interest Earnings (361-*)</v>
      </c>
    </row>
    <row r="336" spans="32:39" x14ac:dyDescent="0.25">
      <c r="AG336" s="129">
        <v>11</v>
      </c>
      <c r="AH336" s="129" t="s">
        <v>1474</v>
      </c>
      <c r="AI336" s="131">
        <f>DATE(YEAR(INDEX($B$41:$N$45,INT((AG336+11)/12)+1,1)),IF(MOD(AG336,12)&lt;&gt;0,MOD(AG336,12),12),1)</f>
        <v>41214</v>
      </c>
      <c r="AJ336" s="129">
        <f>INDEX($C$42:$N$45,INT((AG336+11)/12),AG336-(12*(INT((AG336+11)/12)-1)))</f>
        <v>5915.68</v>
      </c>
      <c r="AK336" s="129">
        <f t="array" ref="AK336">INDEX($P$42:$P$45,MATCH(AM336&amp;YEAR(AI336),$A$42:$A$45&amp;YEAR($B$42:$B$45),0))</f>
        <v>0</v>
      </c>
      <c r="AL336" s="129" t="s">
        <v>1473</v>
      </c>
      <c r="AM336" s="129" t="str">
        <f>INDEX($A$42:$A$45,INT((AG336+11)/12))</f>
        <v>Interest Earnings (361-*)</v>
      </c>
    </row>
    <row r="337" spans="33:39" x14ac:dyDescent="0.25">
      <c r="AG337" s="129">
        <v>12</v>
      </c>
      <c r="AH337" s="129" t="s">
        <v>1474</v>
      </c>
      <c r="AI337" s="131">
        <f>DATE(YEAR(INDEX($B$41:$N$45,INT((AG337+11)/12)+1,1)),IF(MOD(AG337,12)&lt;&gt;0,MOD(AG337,12),12),1)</f>
        <v>41244</v>
      </c>
      <c r="AJ337" s="129">
        <f>INDEX($C$42:$N$45,INT((AG337+11)/12),AG337-(12*(INT((AG337+11)/12)-1)))</f>
        <v>6593.04</v>
      </c>
      <c r="AK337" s="129">
        <f t="array" ref="AK337">INDEX($P$42:$P$45,MATCH(AM337&amp;YEAR(AI337),$A$42:$A$45&amp;YEAR($B$42:$B$45),0))</f>
        <v>0</v>
      </c>
      <c r="AL337" s="129" t="s">
        <v>1473</v>
      </c>
      <c r="AM337" s="129" t="str">
        <f>INDEX($A$42:$A$45,INT((AG337+11)/12))</f>
        <v>Interest Earnings (361-*)</v>
      </c>
    </row>
    <row r="338" spans="33:39" x14ac:dyDescent="0.25">
      <c r="AG338" s="129">
        <v>13</v>
      </c>
      <c r="AH338" s="129" t="s">
        <v>1474</v>
      </c>
      <c r="AI338" s="131">
        <f>DATE(YEAR(INDEX($B$41:$N$45,INT((AG338+11)/12)+1,1)),IF(MOD(AG338,12)&lt;&gt;0,MOD(AG338,12),12),1)</f>
        <v>41275</v>
      </c>
      <c r="AJ338" s="129">
        <f>INDEX($C$42:$N$45,INT((AG338+11)/12),AG338-(12*(INT((AG338+11)/12)-1)))</f>
        <v>1042.33</v>
      </c>
      <c r="AK338" s="129">
        <f t="array" ref="AK338">INDEX($P$42:$P$45,MATCH(AM338&amp;YEAR(AI338),$A$42:$A$45&amp;YEAR($B$42:$B$45),0))</f>
        <v>0</v>
      </c>
      <c r="AL338" s="129" t="s">
        <v>1473</v>
      </c>
      <c r="AM338" s="129" t="str">
        <f>INDEX($A$42:$A$45,INT((AG338+11)/12))</f>
        <v>Interest Earnings (361-*)</v>
      </c>
    </row>
    <row r="339" spans="33:39" x14ac:dyDescent="0.25">
      <c r="AG339" s="129">
        <v>14</v>
      </c>
      <c r="AH339" s="129" t="s">
        <v>1474</v>
      </c>
      <c r="AI339" s="131">
        <f>DATE(YEAR(INDEX($B$41:$N$45,INT((AG339+11)/12)+1,1)),IF(MOD(AG339,12)&lt;&gt;0,MOD(AG339,12),12),1)</f>
        <v>41306</v>
      </c>
      <c r="AJ339" s="129">
        <f>INDEX($C$42:$N$45,INT((AG339+11)/12),AG339-(12*(INT((AG339+11)/12)-1)))</f>
        <v>874.1</v>
      </c>
      <c r="AK339" s="129">
        <f t="array" ref="AK339">INDEX($P$42:$P$45,MATCH(AM339&amp;YEAR(AI339),$A$42:$A$45&amp;YEAR($B$42:$B$45),0))</f>
        <v>0</v>
      </c>
      <c r="AL339" s="129" t="s">
        <v>1473</v>
      </c>
      <c r="AM339" s="129" t="str">
        <f>INDEX($A$42:$A$45,INT((AG339+11)/12))</f>
        <v>Interest Earnings (361-*)</v>
      </c>
    </row>
    <row r="340" spans="33:39" x14ac:dyDescent="0.25">
      <c r="AG340" s="129">
        <v>15</v>
      </c>
      <c r="AH340" s="129" t="s">
        <v>1474</v>
      </c>
      <c r="AI340" s="131">
        <f>DATE(YEAR(INDEX($B$41:$N$45,INT((AG340+11)/12)+1,1)),IF(MOD(AG340,12)&lt;&gt;0,MOD(AG340,12),12),1)</f>
        <v>41334</v>
      </c>
      <c r="AJ340" s="129">
        <f>INDEX($C$42:$N$45,INT((AG340+11)/12),AG340-(12*(INT((AG340+11)/12)-1)))</f>
        <v>871.01</v>
      </c>
      <c r="AK340" s="129">
        <f t="array" ref="AK340">INDEX($P$42:$P$45,MATCH(AM340&amp;YEAR(AI340),$A$42:$A$45&amp;YEAR($B$42:$B$45),0))</f>
        <v>0</v>
      </c>
      <c r="AL340" s="129" t="s">
        <v>1473</v>
      </c>
      <c r="AM340" s="129" t="str">
        <f>INDEX($A$42:$A$45,INT((AG340+11)/12))</f>
        <v>Interest Earnings (361-*)</v>
      </c>
    </row>
    <row r="341" spans="33:39" x14ac:dyDescent="0.25">
      <c r="AG341" s="129">
        <v>16</v>
      </c>
      <c r="AH341" s="129" t="s">
        <v>1474</v>
      </c>
      <c r="AI341" s="131">
        <f>DATE(YEAR(INDEX($B$41:$N$45,INT((AG341+11)/12)+1,1)),IF(MOD(AG341,12)&lt;&gt;0,MOD(AG341,12),12),1)</f>
        <v>41365</v>
      </c>
      <c r="AJ341" s="129">
        <f>INDEX($C$42:$N$45,INT((AG341+11)/12),AG341-(12*(INT((AG341+11)/12)-1)))</f>
        <v>788.14</v>
      </c>
      <c r="AK341" s="129">
        <f t="array" ref="AK341">INDEX($P$42:$P$45,MATCH(AM341&amp;YEAR(AI341),$A$42:$A$45&amp;YEAR($B$42:$B$45),0))</f>
        <v>0</v>
      </c>
      <c r="AL341" s="129" t="s">
        <v>1473</v>
      </c>
      <c r="AM341" s="129" t="str">
        <f>INDEX($A$42:$A$45,INT((AG341+11)/12))</f>
        <v>Interest Earnings (361-*)</v>
      </c>
    </row>
    <row r="342" spans="33:39" x14ac:dyDescent="0.25">
      <c r="AG342" s="129">
        <v>17</v>
      </c>
      <c r="AH342" s="129" t="s">
        <v>1474</v>
      </c>
      <c r="AI342" s="131">
        <f>DATE(YEAR(INDEX($B$41:$N$45,INT((AG342+11)/12)+1,1)),IF(MOD(AG342,12)&lt;&gt;0,MOD(AG342,12),12),1)</f>
        <v>41395</v>
      </c>
      <c r="AJ342" s="129">
        <f>INDEX($C$42:$N$45,INT((AG342+11)/12),AG342-(12*(INT((AG342+11)/12)-1)))</f>
        <v>754.98</v>
      </c>
      <c r="AK342" s="129">
        <f t="array" ref="AK342">INDEX($P$42:$P$45,MATCH(AM342&amp;YEAR(AI342),$A$42:$A$45&amp;YEAR($B$42:$B$45),0))</f>
        <v>0</v>
      </c>
      <c r="AL342" s="129" t="s">
        <v>1473</v>
      </c>
      <c r="AM342" s="129" t="str">
        <f>INDEX($A$42:$A$45,INT((AG342+11)/12))</f>
        <v>Interest Earnings (361-*)</v>
      </c>
    </row>
    <row r="343" spans="33:39" x14ac:dyDescent="0.25">
      <c r="AG343" s="129">
        <v>18</v>
      </c>
      <c r="AH343" s="129" t="s">
        <v>1474</v>
      </c>
      <c r="AI343" s="131">
        <f>DATE(YEAR(INDEX($B$41:$N$45,INT((AG343+11)/12)+1,1)),IF(MOD(AG343,12)&lt;&gt;0,MOD(AG343,12),12),1)</f>
        <v>41426</v>
      </c>
      <c r="AJ343" s="129">
        <f>INDEX($C$42:$N$45,INT((AG343+11)/12),AG343-(12*(INT((AG343+11)/12)-1)))</f>
        <v>0</v>
      </c>
      <c r="AK343" s="129">
        <f t="array" ref="AK343">INDEX($P$42:$P$45,MATCH(AM343&amp;YEAR(AI343),$A$42:$A$45&amp;YEAR($B$42:$B$45),0))</f>
        <v>0</v>
      </c>
      <c r="AL343" s="129" t="s">
        <v>1473</v>
      </c>
      <c r="AM343" s="129" t="str">
        <f>INDEX($A$42:$A$45,INT((AG343+11)/12))</f>
        <v>Interest Earnings (361-*)</v>
      </c>
    </row>
    <row r="344" spans="33:39" x14ac:dyDescent="0.25">
      <c r="AG344" s="129">
        <v>19</v>
      </c>
      <c r="AH344" s="129" t="s">
        <v>1474</v>
      </c>
      <c r="AI344" s="131">
        <f>DATE(YEAR(INDEX($B$41:$N$45,INT((AG344+11)/12)+1,1)),IF(MOD(AG344,12)&lt;&gt;0,MOD(AG344,12),12),1)</f>
        <v>41456</v>
      </c>
      <c r="AJ344" s="129">
        <f>INDEX($C$42:$N$45,INT((AG344+11)/12),AG344-(12*(INT((AG344+11)/12)-1)))</f>
        <v>0</v>
      </c>
      <c r="AK344" s="129">
        <f t="array" ref="AK344">INDEX($P$42:$P$45,MATCH(AM344&amp;YEAR(AI344),$A$42:$A$45&amp;YEAR($B$42:$B$45),0))</f>
        <v>0</v>
      </c>
      <c r="AL344" s="129" t="s">
        <v>1473</v>
      </c>
      <c r="AM344" s="129" t="str">
        <f>INDEX($A$42:$A$45,INT((AG344+11)/12))</f>
        <v>Interest Earnings (361-*)</v>
      </c>
    </row>
    <row r="345" spans="33:39" x14ac:dyDescent="0.25">
      <c r="AG345" s="129">
        <v>20</v>
      </c>
      <c r="AH345" s="129" t="s">
        <v>1474</v>
      </c>
      <c r="AI345" s="131">
        <f>DATE(YEAR(INDEX($B$41:$N$45,INT((AG345+11)/12)+1,1)),IF(MOD(AG345,12)&lt;&gt;0,MOD(AG345,12),12),1)</f>
        <v>41487</v>
      </c>
      <c r="AJ345" s="129">
        <f>INDEX($C$42:$N$45,INT((AG345+11)/12),AG345-(12*(INT((AG345+11)/12)-1)))</f>
        <v>0</v>
      </c>
      <c r="AK345" s="129">
        <f t="array" ref="AK345">INDEX($P$42:$P$45,MATCH(AM345&amp;YEAR(AI345),$A$42:$A$45&amp;YEAR($B$42:$B$45),0))</f>
        <v>0</v>
      </c>
      <c r="AL345" s="129" t="s">
        <v>1473</v>
      </c>
      <c r="AM345" s="129" t="str">
        <f>INDEX($A$42:$A$45,INT((AG345+11)/12))</f>
        <v>Interest Earnings (361-*)</v>
      </c>
    </row>
    <row r="346" spans="33:39" x14ac:dyDescent="0.25">
      <c r="AG346" s="129">
        <v>21</v>
      </c>
      <c r="AH346" s="129" t="s">
        <v>1474</v>
      </c>
      <c r="AI346" s="131">
        <f>DATE(YEAR(INDEX($B$41:$N$45,INT((AG346+11)/12)+1,1)),IF(MOD(AG346,12)&lt;&gt;0,MOD(AG346,12),12),1)</f>
        <v>41518</v>
      </c>
      <c r="AJ346" s="129">
        <f>INDEX($C$42:$N$45,INT((AG346+11)/12),AG346-(12*(INT((AG346+11)/12)-1)))</f>
        <v>0</v>
      </c>
      <c r="AK346" s="129">
        <f t="array" ref="AK346">INDEX($P$42:$P$45,MATCH(AM346&amp;YEAR(AI346),$A$42:$A$45&amp;YEAR($B$42:$B$45),0))</f>
        <v>0</v>
      </c>
      <c r="AL346" s="129" t="s">
        <v>1473</v>
      </c>
      <c r="AM346" s="129" t="str">
        <f>INDEX($A$42:$A$45,INT((AG346+11)/12))</f>
        <v>Interest Earnings (361-*)</v>
      </c>
    </row>
    <row r="347" spans="33:39" x14ac:dyDescent="0.25">
      <c r="AG347" s="129">
        <v>22</v>
      </c>
      <c r="AH347" s="129" t="s">
        <v>1474</v>
      </c>
      <c r="AI347" s="131">
        <f>DATE(YEAR(INDEX($B$41:$N$45,INT((AG347+11)/12)+1,1)),IF(MOD(AG347,12)&lt;&gt;0,MOD(AG347,12),12),1)</f>
        <v>41548</v>
      </c>
      <c r="AJ347" s="129">
        <f>INDEX($C$42:$N$45,INT((AG347+11)/12),AG347-(12*(INT((AG347+11)/12)-1)))</f>
        <v>0</v>
      </c>
      <c r="AK347" s="129">
        <f t="array" ref="AK347">INDEX($P$42:$P$45,MATCH(AM347&amp;YEAR(AI347),$A$42:$A$45&amp;YEAR($B$42:$B$45),0))</f>
        <v>0</v>
      </c>
      <c r="AL347" s="129" t="s">
        <v>1473</v>
      </c>
      <c r="AM347" s="129" t="str">
        <f>INDEX($A$42:$A$45,INT((AG347+11)/12))</f>
        <v>Interest Earnings (361-*)</v>
      </c>
    </row>
    <row r="348" spans="33:39" x14ac:dyDescent="0.25">
      <c r="AG348" s="129">
        <v>23</v>
      </c>
      <c r="AH348" s="129" t="s">
        <v>1474</v>
      </c>
      <c r="AI348" s="131">
        <f>DATE(YEAR(INDEX($B$41:$N$45,INT((AG348+11)/12)+1,1)),IF(MOD(AG348,12)&lt;&gt;0,MOD(AG348,12),12),1)</f>
        <v>41579</v>
      </c>
      <c r="AJ348" s="129">
        <f>INDEX($C$42:$N$45,INT((AG348+11)/12),AG348-(12*(INT((AG348+11)/12)-1)))</f>
        <v>0</v>
      </c>
      <c r="AK348" s="129">
        <f t="array" ref="AK348">INDEX($P$42:$P$45,MATCH(AM348&amp;YEAR(AI348),$A$42:$A$45&amp;YEAR($B$42:$B$45),0))</f>
        <v>0</v>
      </c>
      <c r="AL348" s="129" t="s">
        <v>1473</v>
      </c>
      <c r="AM348" s="129" t="str">
        <f>INDEX($A$42:$A$45,INT((AG348+11)/12))</f>
        <v>Interest Earnings (361-*)</v>
      </c>
    </row>
    <row r="349" spans="33:39" x14ac:dyDescent="0.25">
      <c r="AG349" s="129">
        <v>24</v>
      </c>
      <c r="AH349" s="129" t="s">
        <v>1474</v>
      </c>
      <c r="AI349" s="131">
        <f>DATE(YEAR(INDEX($B$41:$N$45,INT((AG349+11)/12)+1,1)),IF(MOD(AG349,12)&lt;&gt;0,MOD(AG349,12),12),1)</f>
        <v>41609</v>
      </c>
      <c r="AJ349" s="129">
        <f>INDEX($C$42:$N$45,INT((AG349+11)/12),AG349-(12*(INT((AG349+11)/12)-1)))</f>
        <v>0</v>
      </c>
      <c r="AK349" s="129">
        <f t="array" ref="AK349">INDEX($P$42:$P$45,MATCH(AM349&amp;YEAR(AI349),$A$42:$A$45&amp;YEAR($B$42:$B$45),0))</f>
        <v>0</v>
      </c>
      <c r="AL349" s="129" t="s">
        <v>1473</v>
      </c>
      <c r="AM349" s="129" t="str">
        <f>INDEX($A$42:$A$45,INT((AG349+11)/12))</f>
        <v>Interest Earnings (361-*)</v>
      </c>
    </row>
    <row r="350" spans="33:39" x14ac:dyDescent="0.25">
      <c r="AG350" s="129">
        <v>25</v>
      </c>
      <c r="AH350" s="129" t="s">
        <v>1474</v>
      </c>
      <c r="AI350" s="131">
        <f>DATE(YEAR(INDEX($B$41:$N$45,INT((AG350+11)/12)+1,1)),IF(MOD(AG350,12)&lt;&gt;0,MOD(AG350,12),12),1)</f>
        <v>40909</v>
      </c>
      <c r="AJ350" s="129">
        <f>INDEX($C$42:$N$45,INT((AG350+11)/12),AG350-(12*(INT((AG350+11)/12)-1)))</f>
        <v>0</v>
      </c>
      <c r="AK350" s="129">
        <f t="array" ref="AK350">INDEX($P$42:$P$45,MATCH(AM350&amp;YEAR(AI350),$A$42:$A$45&amp;YEAR($B$42:$B$45),0))</f>
        <v>0</v>
      </c>
      <c r="AL350" s="129" t="s">
        <v>1473</v>
      </c>
      <c r="AM350" s="129" t="str">
        <f>INDEX($A$42:$A$45,INT((AG350+11)/12))</f>
        <v>Transfer from Other Funds (370-**)</v>
      </c>
    </row>
    <row r="351" spans="33:39" x14ac:dyDescent="0.25">
      <c r="AG351" s="129">
        <v>26</v>
      </c>
      <c r="AH351" s="129" t="s">
        <v>1474</v>
      </c>
      <c r="AI351" s="131">
        <f>DATE(YEAR(INDEX($B$41:$N$45,INT((AG351+11)/12)+1,1)),IF(MOD(AG351,12)&lt;&gt;0,MOD(AG351,12),12),1)</f>
        <v>40940</v>
      </c>
      <c r="AJ351" s="129">
        <f>INDEX($C$42:$N$45,INT((AG351+11)/12),AG351-(12*(INT((AG351+11)/12)-1)))</f>
        <v>0</v>
      </c>
      <c r="AK351" s="129">
        <f t="array" ref="AK351">INDEX($P$42:$P$45,MATCH(AM351&amp;YEAR(AI351),$A$42:$A$45&amp;YEAR($B$42:$B$45),0))</f>
        <v>0</v>
      </c>
      <c r="AL351" s="129" t="s">
        <v>1473</v>
      </c>
      <c r="AM351" s="129" t="str">
        <f>INDEX($A$42:$A$45,INT((AG351+11)/12))</f>
        <v>Transfer from Other Funds (370-**)</v>
      </c>
    </row>
    <row r="352" spans="33:39" x14ac:dyDescent="0.25">
      <c r="AG352" s="129">
        <v>27</v>
      </c>
      <c r="AH352" s="129" t="s">
        <v>1474</v>
      </c>
      <c r="AI352" s="131">
        <f>DATE(YEAR(INDEX($B$41:$N$45,INT((AG352+11)/12)+1,1)),IF(MOD(AG352,12)&lt;&gt;0,MOD(AG352,12),12),1)</f>
        <v>40969</v>
      </c>
      <c r="AJ352" s="129">
        <f>INDEX($C$42:$N$45,INT((AG352+11)/12),AG352-(12*(INT((AG352+11)/12)-1)))</f>
        <v>0</v>
      </c>
      <c r="AK352" s="129">
        <f t="array" ref="AK352">INDEX($P$42:$P$45,MATCH(AM352&amp;YEAR(AI352),$A$42:$A$45&amp;YEAR($B$42:$B$45),0))</f>
        <v>0</v>
      </c>
      <c r="AL352" s="129" t="s">
        <v>1473</v>
      </c>
      <c r="AM352" s="129" t="str">
        <f>INDEX($A$42:$A$45,INT((AG352+11)/12))</f>
        <v>Transfer from Other Funds (370-**)</v>
      </c>
    </row>
    <row r="353" spans="33:39" x14ac:dyDescent="0.25">
      <c r="AG353" s="129">
        <v>28</v>
      </c>
      <c r="AH353" s="129" t="s">
        <v>1474</v>
      </c>
      <c r="AI353" s="131">
        <f>DATE(YEAR(INDEX($B$41:$N$45,INT((AG353+11)/12)+1,1)),IF(MOD(AG353,12)&lt;&gt;0,MOD(AG353,12),12),1)</f>
        <v>41000</v>
      </c>
      <c r="AJ353" s="129">
        <f>INDEX($C$42:$N$45,INT((AG353+11)/12),AG353-(12*(INT((AG353+11)/12)-1)))</f>
        <v>0</v>
      </c>
      <c r="AK353" s="129">
        <f t="array" ref="AK353">INDEX($P$42:$P$45,MATCH(AM353&amp;YEAR(AI353),$A$42:$A$45&amp;YEAR($B$42:$B$45),0))</f>
        <v>0</v>
      </c>
      <c r="AL353" s="129" t="s">
        <v>1473</v>
      </c>
      <c r="AM353" s="129" t="str">
        <f>INDEX($A$42:$A$45,INT((AG353+11)/12))</f>
        <v>Transfer from Other Funds (370-**)</v>
      </c>
    </row>
    <row r="354" spans="33:39" x14ac:dyDescent="0.25">
      <c r="AG354" s="129">
        <v>29</v>
      </c>
      <c r="AH354" s="129" t="s">
        <v>1474</v>
      </c>
      <c r="AI354" s="131">
        <f>DATE(YEAR(INDEX($B$41:$N$45,INT((AG354+11)/12)+1,1)),IF(MOD(AG354,12)&lt;&gt;0,MOD(AG354,12),12),1)</f>
        <v>41030</v>
      </c>
      <c r="AJ354" s="129">
        <f>INDEX($C$42:$N$45,INT((AG354+11)/12),AG354-(12*(INT((AG354+11)/12)-1)))</f>
        <v>0</v>
      </c>
      <c r="AK354" s="129">
        <f t="array" ref="AK354">INDEX($P$42:$P$45,MATCH(AM354&amp;YEAR(AI354),$A$42:$A$45&amp;YEAR($B$42:$B$45),0))</f>
        <v>0</v>
      </c>
      <c r="AL354" s="129" t="s">
        <v>1473</v>
      </c>
      <c r="AM354" s="129" t="str">
        <f>INDEX($A$42:$A$45,INT((AG354+11)/12))</f>
        <v>Transfer from Other Funds (370-**)</v>
      </c>
    </row>
    <row r="355" spans="33:39" x14ac:dyDescent="0.25">
      <c r="AG355" s="129">
        <v>30</v>
      </c>
      <c r="AH355" s="129" t="s">
        <v>1474</v>
      </c>
      <c r="AI355" s="131">
        <f>DATE(YEAR(INDEX($B$41:$N$45,INT((AG355+11)/12)+1,1)),IF(MOD(AG355,12)&lt;&gt;0,MOD(AG355,12),12),1)</f>
        <v>41061</v>
      </c>
      <c r="AJ355" s="129">
        <f>INDEX($C$42:$N$45,INT((AG355+11)/12),AG355-(12*(INT((AG355+11)/12)-1)))</f>
        <v>0</v>
      </c>
      <c r="AK355" s="129">
        <f t="array" ref="AK355">INDEX($P$42:$P$45,MATCH(AM355&amp;YEAR(AI355),$A$42:$A$45&amp;YEAR($B$42:$B$45),0))</f>
        <v>0</v>
      </c>
      <c r="AL355" s="129" t="s">
        <v>1473</v>
      </c>
      <c r="AM355" s="129" t="str">
        <f>INDEX($A$42:$A$45,INT((AG355+11)/12))</f>
        <v>Transfer from Other Funds (370-**)</v>
      </c>
    </row>
    <row r="356" spans="33:39" x14ac:dyDescent="0.25">
      <c r="AG356" s="129">
        <v>31</v>
      </c>
      <c r="AH356" s="129" t="s">
        <v>1474</v>
      </c>
      <c r="AI356" s="131">
        <f>DATE(YEAR(INDEX($B$41:$N$45,INT((AG356+11)/12)+1,1)),IF(MOD(AG356,12)&lt;&gt;0,MOD(AG356,12),12),1)</f>
        <v>41091</v>
      </c>
      <c r="AJ356" s="129">
        <f>INDEX($C$42:$N$45,INT((AG356+11)/12),AG356-(12*(INT((AG356+11)/12)-1)))</f>
        <v>0</v>
      </c>
      <c r="AK356" s="129">
        <f t="array" ref="AK356">INDEX($P$42:$P$45,MATCH(AM356&amp;YEAR(AI356),$A$42:$A$45&amp;YEAR($B$42:$B$45),0))</f>
        <v>0</v>
      </c>
      <c r="AL356" s="129" t="s">
        <v>1473</v>
      </c>
      <c r="AM356" s="129" t="str">
        <f>INDEX($A$42:$A$45,INT((AG356+11)/12))</f>
        <v>Transfer from Other Funds (370-**)</v>
      </c>
    </row>
    <row r="357" spans="33:39" x14ac:dyDescent="0.25">
      <c r="AG357" s="129">
        <v>32</v>
      </c>
      <c r="AH357" s="129" t="s">
        <v>1474</v>
      </c>
      <c r="AI357" s="131">
        <f>DATE(YEAR(INDEX($B$41:$N$45,INT((AG357+11)/12)+1,1)),IF(MOD(AG357,12)&lt;&gt;0,MOD(AG357,12),12),1)</f>
        <v>41122</v>
      </c>
      <c r="AJ357" s="129">
        <f>INDEX($C$42:$N$45,INT((AG357+11)/12),AG357-(12*(INT((AG357+11)/12)-1)))</f>
        <v>0</v>
      </c>
      <c r="AK357" s="129">
        <f t="array" ref="AK357">INDEX($P$42:$P$45,MATCH(AM357&amp;YEAR(AI357),$A$42:$A$45&amp;YEAR($B$42:$B$45),0))</f>
        <v>0</v>
      </c>
      <c r="AL357" s="129" t="s">
        <v>1473</v>
      </c>
      <c r="AM357" s="129" t="str">
        <f>INDEX($A$42:$A$45,INT((AG357+11)/12))</f>
        <v>Transfer from Other Funds (370-**)</v>
      </c>
    </row>
    <row r="358" spans="33:39" x14ac:dyDescent="0.25">
      <c r="AG358" s="129">
        <v>33</v>
      </c>
      <c r="AH358" s="129" t="s">
        <v>1474</v>
      </c>
      <c r="AI358" s="131">
        <f>DATE(YEAR(INDEX($B$41:$N$45,INT((AG358+11)/12)+1,1)),IF(MOD(AG358,12)&lt;&gt;0,MOD(AG358,12),12),1)</f>
        <v>41153</v>
      </c>
      <c r="AJ358" s="129">
        <f>INDEX($C$42:$N$45,INT((AG358+11)/12),AG358-(12*(INT((AG358+11)/12)-1)))</f>
        <v>0</v>
      </c>
      <c r="AK358" s="129">
        <f t="array" ref="AK358">INDEX($P$42:$P$45,MATCH(AM358&amp;YEAR(AI358),$A$42:$A$45&amp;YEAR($B$42:$B$45),0))</f>
        <v>0</v>
      </c>
      <c r="AL358" s="129" t="s">
        <v>1473</v>
      </c>
      <c r="AM358" s="129" t="str">
        <f>INDEX($A$42:$A$45,INT((AG358+11)/12))</f>
        <v>Transfer from Other Funds (370-**)</v>
      </c>
    </row>
    <row r="359" spans="33:39" x14ac:dyDescent="0.25">
      <c r="AG359" s="129">
        <v>34</v>
      </c>
      <c r="AH359" s="129" t="s">
        <v>1474</v>
      </c>
      <c r="AI359" s="131">
        <f>DATE(YEAR(INDEX($B$41:$N$45,INT((AG359+11)/12)+1,1)),IF(MOD(AG359,12)&lt;&gt;0,MOD(AG359,12),12),1)</f>
        <v>41183</v>
      </c>
      <c r="AJ359" s="129">
        <f>INDEX($C$42:$N$45,INT((AG359+11)/12),AG359-(12*(INT((AG359+11)/12)-1)))</f>
        <v>7206733.8399999999</v>
      </c>
      <c r="AK359" s="129">
        <f t="array" ref="AK359">INDEX($P$42:$P$45,MATCH(AM359&amp;YEAR(AI359),$A$42:$A$45&amp;YEAR($B$42:$B$45),0))</f>
        <v>0</v>
      </c>
      <c r="AL359" s="129" t="s">
        <v>1473</v>
      </c>
      <c r="AM359" s="129" t="str">
        <f>INDEX($A$42:$A$45,INT((AG359+11)/12))</f>
        <v>Transfer from Other Funds (370-**)</v>
      </c>
    </row>
    <row r="360" spans="33:39" x14ac:dyDescent="0.25">
      <c r="AG360" s="129">
        <v>35</v>
      </c>
      <c r="AH360" s="129" t="s">
        <v>1474</v>
      </c>
      <c r="AI360" s="131">
        <f>DATE(YEAR(INDEX($B$41:$N$45,INT((AG360+11)/12)+1,1)),IF(MOD(AG360,12)&lt;&gt;0,MOD(AG360,12),12),1)</f>
        <v>41214</v>
      </c>
      <c r="AJ360" s="129">
        <f>INDEX($C$42:$N$45,INT((AG360+11)/12),AG360-(12*(INT((AG360+11)/12)-1)))</f>
        <v>0</v>
      </c>
      <c r="AK360" s="129">
        <f t="array" ref="AK360">INDEX($P$42:$P$45,MATCH(AM360&amp;YEAR(AI360),$A$42:$A$45&amp;YEAR($B$42:$B$45),0))</f>
        <v>0</v>
      </c>
      <c r="AL360" s="129" t="s">
        <v>1473</v>
      </c>
      <c r="AM360" s="129" t="str">
        <f>INDEX($A$42:$A$45,INT((AG360+11)/12))</f>
        <v>Transfer from Other Funds (370-**)</v>
      </c>
    </row>
    <row r="361" spans="33:39" x14ac:dyDescent="0.25">
      <c r="AG361" s="129">
        <v>36</v>
      </c>
      <c r="AH361" s="129" t="s">
        <v>1474</v>
      </c>
      <c r="AI361" s="131">
        <f>DATE(YEAR(INDEX($B$41:$N$45,INT((AG361+11)/12)+1,1)),IF(MOD(AG361,12)&lt;&gt;0,MOD(AG361,12),12),1)</f>
        <v>41244</v>
      </c>
      <c r="AJ361" s="129">
        <f>INDEX($C$42:$N$45,INT((AG361+11)/12),AG361-(12*(INT((AG361+11)/12)-1)))</f>
        <v>0</v>
      </c>
      <c r="AK361" s="129">
        <f t="array" ref="AK361">INDEX($P$42:$P$45,MATCH(AM361&amp;YEAR(AI361),$A$42:$A$45&amp;YEAR($B$42:$B$45),0))</f>
        <v>0</v>
      </c>
      <c r="AL361" s="129" t="s">
        <v>1473</v>
      </c>
      <c r="AM361" s="129" t="str">
        <f>INDEX($A$42:$A$45,INT((AG361+11)/12))</f>
        <v>Transfer from Other Funds (370-**)</v>
      </c>
    </row>
    <row r="362" spans="33:39" x14ac:dyDescent="0.25">
      <c r="AG362" s="129">
        <v>37</v>
      </c>
      <c r="AH362" s="129" t="s">
        <v>1474</v>
      </c>
      <c r="AI362" s="131">
        <f>DATE(YEAR(INDEX($B$41:$N$45,INT((AG362+11)/12)+1,1)),IF(MOD(AG362,12)&lt;&gt;0,MOD(AG362,12),12),1)</f>
        <v>41275</v>
      </c>
      <c r="AJ362" s="129">
        <f>INDEX($C$42:$N$45,INT((AG362+11)/12),AG362-(12*(INT((AG362+11)/12)-1)))</f>
        <v>0</v>
      </c>
      <c r="AK362" s="129">
        <f t="array" ref="AK362">INDEX($P$42:$P$45,MATCH(AM362&amp;YEAR(AI362),$A$42:$A$45&amp;YEAR($B$42:$B$45),0))</f>
        <v>0</v>
      </c>
      <c r="AL362" s="129" t="s">
        <v>1473</v>
      </c>
      <c r="AM362" s="129" t="str">
        <f>INDEX($A$42:$A$45,INT((AG362+11)/12))</f>
        <v>Transfer from Other Funds (370-**)</v>
      </c>
    </row>
    <row r="363" spans="33:39" x14ac:dyDescent="0.25">
      <c r="AG363" s="129">
        <v>38</v>
      </c>
      <c r="AH363" s="129" t="s">
        <v>1474</v>
      </c>
      <c r="AI363" s="131">
        <f>DATE(YEAR(INDEX($B$41:$N$45,INT((AG363+11)/12)+1,1)),IF(MOD(AG363,12)&lt;&gt;0,MOD(AG363,12),12),1)</f>
        <v>41306</v>
      </c>
      <c r="AJ363" s="129">
        <f>INDEX($C$42:$N$45,INT((AG363+11)/12),AG363-(12*(INT((AG363+11)/12)-1)))</f>
        <v>0</v>
      </c>
      <c r="AK363" s="129">
        <f t="array" ref="AK363">INDEX($P$42:$P$45,MATCH(AM363&amp;YEAR(AI363),$A$42:$A$45&amp;YEAR($B$42:$B$45),0))</f>
        <v>0</v>
      </c>
      <c r="AL363" s="129" t="s">
        <v>1473</v>
      </c>
      <c r="AM363" s="129" t="str">
        <f>INDEX($A$42:$A$45,INT((AG363+11)/12))</f>
        <v>Transfer from Other Funds (370-**)</v>
      </c>
    </row>
    <row r="364" spans="33:39" x14ac:dyDescent="0.25">
      <c r="AG364" s="129">
        <v>39</v>
      </c>
      <c r="AH364" s="129" t="s">
        <v>1474</v>
      </c>
      <c r="AI364" s="131">
        <f>DATE(YEAR(INDEX($B$41:$N$45,INT((AG364+11)/12)+1,1)),IF(MOD(AG364,12)&lt;&gt;0,MOD(AG364,12),12),1)</f>
        <v>41334</v>
      </c>
      <c r="AJ364" s="129">
        <f>INDEX($C$42:$N$45,INT((AG364+11)/12),AG364-(12*(INT((AG364+11)/12)-1)))</f>
        <v>0</v>
      </c>
      <c r="AK364" s="129">
        <f t="array" ref="AK364">INDEX($P$42:$P$45,MATCH(AM364&amp;YEAR(AI364),$A$42:$A$45&amp;YEAR($B$42:$B$45),0))</f>
        <v>0</v>
      </c>
      <c r="AL364" s="129" t="s">
        <v>1473</v>
      </c>
      <c r="AM364" s="129" t="str">
        <f>INDEX($A$42:$A$45,INT((AG364+11)/12))</f>
        <v>Transfer from Other Funds (370-**)</v>
      </c>
    </row>
    <row r="365" spans="33:39" x14ac:dyDescent="0.25">
      <c r="AG365" s="129">
        <v>40</v>
      </c>
      <c r="AH365" s="129" t="s">
        <v>1474</v>
      </c>
      <c r="AI365" s="131">
        <f>DATE(YEAR(INDEX($B$41:$N$45,INT((AG365+11)/12)+1,1)),IF(MOD(AG365,12)&lt;&gt;0,MOD(AG365,12),12),1)</f>
        <v>41365</v>
      </c>
      <c r="AJ365" s="129">
        <f>INDEX($C$42:$N$45,INT((AG365+11)/12),AG365-(12*(INT((AG365+11)/12)-1)))</f>
        <v>0</v>
      </c>
      <c r="AK365" s="129">
        <f t="array" ref="AK365">INDEX($P$42:$P$45,MATCH(AM365&amp;YEAR(AI365),$A$42:$A$45&amp;YEAR($B$42:$B$45),0))</f>
        <v>0</v>
      </c>
      <c r="AL365" s="129" t="s">
        <v>1473</v>
      </c>
      <c r="AM365" s="129" t="str">
        <f>INDEX($A$42:$A$45,INT((AG365+11)/12))</f>
        <v>Transfer from Other Funds (370-**)</v>
      </c>
    </row>
    <row r="366" spans="33:39" x14ac:dyDescent="0.25">
      <c r="AG366" s="129">
        <v>41</v>
      </c>
      <c r="AH366" s="129" t="s">
        <v>1474</v>
      </c>
      <c r="AI366" s="131">
        <f>DATE(YEAR(INDEX($B$41:$N$45,INT((AG366+11)/12)+1,1)),IF(MOD(AG366,12)&lt;&gt;0,MOD(AG366,12),12),1)</f>
        <v>41395</v>
      </c>
      <c r="AJ366" s="129">
        <f>INDEX($C$42:$N$45,INT((AG366+11)/12),AG366-(12*(INT((AG366+11)/12)-1)))</f>
        <v>0</v>
      </c>
      <c r="AK366" s="129">
        <f t="array" ref="AK366">INDEX($P$42:$P$45,MATCH(AM366&amp;YEAR(AI366),$A$42:$A$45&amp;YEAR($B$42:$B$45),0))</f>
        <v>0</v>
      </c>
      <c r="AL366" s="129" t="s">
        <v>1473</v>
      </c>
      <c r="AM366" s="129" t="str">
        <f>INDEX($A$42:$A$45,INT((AG366+11)/12))</f>
        <v>Transfer from Other Funds (370-**)</v>
      </c>
    </row>
    <row r="367" spans="33:39" x14ac:dyDescent="0.25">
      <c r="AG367" s="129">
        <v>42</v>
      </c>
      <c r="AH367" s="129" t="s">
        <v>1474</v>
      </c>
      <c r="AI367" s="131">
        <f>DATE(YEAR(INDEX($B$41:$N$45,INT((AG367+11)/12)+1,1)),IF(MOD(AG367,12)&lt;&gt;0,MOD(AG367,12),12),1)</f>
        <v>41426</v>
      </c>
      <c r="AJ367" s="129">
        <f>INDEX($C$42:$N$45,INT((AG367+11)/12),AG367-(12*(INT((AG367+11)/12)-1)))</f>
        <v>0</v>
      </c>
      <c r="AK367" s="129">
        <f t="array" ref="AK367">INDEX($P$42:$P$45,MATCH(AM367&amp;YEAR(AI367),$A$42:$A$45&amp;YEAR($B$42:$B$45),0))</f>
        <v>0</v>
      </c>
      <c r="AL367" s="129" t="s">
        <v>1473</v>
      </c>
      <c r="AM367" s="129" t="str">
        <f>INDEX($A$42:$A$45,INT((AG367+11)/12))</f>
        <v>Transfer from Other Funds (370-**)</v>
      </c>
    </row>
    <row r="368" spans="33:39" x14ac:dyDescent="0.25">
      <c r="AG368" s="129">
        <v>43</v>
      </c>
      <c r="AH368" s="129" t="s">
        <v>1474</v>
      </c>
      <c r="AI368" s="131">
        <f>DATE(YEAR(INDEX($B$41:$N$45,INT((AG368+11)/12)+1,1)),IF(MOD(AG368,12)&lt;&gt;0,MOD(AG368,12),12),1)</f>
        <v>41456</v>
      </c>
      <c r="AJ368" s="129">
        <f>INDEX($C$42:$N$45,INT((AG368+11)/12),AG368-(12*(INT((AG368+11)/12)-1)))</f>
        <v>0</v>
      </c>
      <c r="AK368" s="129">
        <f t="array" ref="AK368">INDEX($P$42:$P$45,MATCH(AM368&amp;YEAR(AI368),$A$42:$A$45&amp;YEAR($B$42:$B$45),0))</f>
        <v>0</v>
      </c>
      <c r="AL368" s="129" t="s">
        <v>1473</v>
      </c>
      <c r="AM368" s="129" t="str">
        <f>INDEX($A$42:$A$45,INT((AG368+11)/12))</f>
        <v>Transfer from Other Funds (370-**)</v>
      </c>
    </row>
    <row r="369" spans="33:39" x14ac:dyDescent="0.25">
      <c r="AG369" s="129">
        <v>44</v>
      </c>
      <c r="AH369" s="129" t="s">
        <v>1474</v>
      </c>
      <c r="AI369" s="131">
        <f>DATE(YEAR(INDEX($B$41:$N$45,INT((AG369+11)/12)+1,1)),IF(MOD(AG369,12)&lt;&gt;0,MOD(AG369,12),12),1)</f>
        <v>41487</v>
      </c>
      <c r="AJ369" s="129">
        <f>INDEX($C$42:$N$45,INT((AG369+11)/12),AG369-(12*(INT((AG369+11)/12)-1)))</f>
        <v>0</v>
      </c>
      <c r="AK369" s="129">
        <f t="array" ref="AK369">INDEX($P$42:$P$45,MATCH(AM369&amp;YEAR(AI369),$A$42:$A$45&amp;YEAR($B$42:$B$45),0))</f>
        <v>0</v>
      </c>
      <c r="AL369" s="129" t="s">
        <v>1473</v>
      </c>
      <c r="AM369" s="129" t="str">
        <f>INDEX($A$42:$A$45,INT((AG369+11)/12))</f>
        <v>Transfer from Other Funds (370-**)</v>
      </c>
    </row>
    <row r="370" spans="33:39" x14ac:dyDescent="0.25">
      <c r="AG370" s="129">
        <v>45</v>
      </c>
      <c r="AH370" s="129" t="s">
        <v>1474</v>
      </c>
      <c r="AI370" s="131">
        <f>DATE(YEAR(INDEX($B$41:$N$45,INT((AG370+11)/12)+1,1)),IF(MOD(AG370,12)&lt;&gt;0,MOD(AG370,12),12),1)</f>
        <v>41518</v>
      </c>
      <c r="AJ370" s="129">
        <f>INDEX($C$42:$N$45,INT((AG370+11)/12),AG370-(12*(INT((AG370+11)/12)-1)))</f>
        <v>0</v>
      </c>
      <c r="AK370" s="129">
        <f t="array" ref="AK370">INDEX($P$42:$P$45,MATCH(AM370&amp;YEAR(AI370),$A$42:$A$45&amp;YEAR($B$42:$B$45),0))</f>
        <v>0</v>
      </c>
      <c r="AL370" s="129" t="s">
        <v>1473</v>
      </c>
      <c r="AM370" s="129" t="str">
        <f>INDEX($A$42:$A$45,INT((AG370+11)/12))</f>
        <v>Transfer from Other Funds (370-**)</v>
      </c>
    </row>
    <row r="371" spans="33:39" x14ac:dyDescent="0.25">
      <c r="AG371" s="129">
        <v>46</v>
      </c>
      <c r="AH371" s="129" t="s">
        <v>1474</v>
      </c>
      <c r="AI371" s="131">
        <f>DATE(YEAR(INDEX($B$41:$N$45,INT((AG371+11)/12)+1,1)),IF(MOD(AG371,12)&lt;&gt;0,MOD(AG371,12),12),1)</f>
        <v>41548</v>
      </c>
      <c r="AJ371" s="129">
        <f>INDEX($C$42:$N$45,INT((AG371+11)/12),AG371-(12*(INT((AG371+11)/12)-1)))</f>
        <v>0</v>
      </c>
      <c r="AK371" s="129">
        <f t="array" ref="AK371">INDEX($P$42:$P$45,MATCH(AM371&amp;YEAR(AI371),$A$42:$A$45&amp;YEAR($B$42:$B$45),0))</f>
        <v>0</v>
      </c>
      <c r="AL371" s="129" t="s">
        <v>1473</v>
      </c>
      <c r="AM371" s="129" t="str">
        <f>INDEX($A$42:$A$45,INT((AG371+11)/12))</f>
        <v>Transfer from Other Funds (370-**)</v>
      </c>
    </row>
    <row r="372" spans="33:39" x14ac:dyDescent="0.25">
      <c r="AG372" s="129">
        <v>47</v>
      </c>
      <c r="AH372" s="129" t="s">
        <v>1474</v>
      </c>
      <c r="AI372" s="131">
        <f>DATE(YEAR(INDEX($B$41:$N$45,INT((AG372+11)/12)+1,1)),IF(MOD(AG372,12)&lt;&gt;0,MOD(AG372,12),12),1)</f>
        <v>41579</v>
      </c>
      <c r="AJ372" s="129">
        <f>INDEX($C$42:$N$45,INT((AG372+11)/12),AG372-(12*(INT((AG372+11)/12)-1)))</f>
        <v>0</v>
      </c>
      <c r="AK372" s="129">
        <f t="array" ref="AK372">INDEX($P$42:$P$45,MATCH(AM372&amp;YEAR(AI372),$A$42:$A$45&amp;YEAR($B$42:$B$45),0))</f>
        <v>0</v>
      </c>
      <c r="AL372" s="129" t="s">
        <v>1473</v>
      </c>
      <c r="AM372" s="129" t="str">
        <f>INDEX($A$42:$A$45,INT((AG372+11)/12))</f>
        <v>Transfer from Other Funds (370-**)</v>
      </c>
    </row>
    <row r="373" spans="33:39" x14ac:dyDescent="0.25">
      <c r="AG373" s="129">
        <v>48</v>
      </c>
      <c r="AH373" s="129" t="s">
        <v>1474</v>
      </c>
      <c r="AI373" s="131">
        <f>DATE(YEAR(INDEX($B$41:$N$45,INT((AG373+11)/12)+1,1)),IF(MOD(AG373,12)&lt;&gt;0,MOD(AG373,12),12),1)</f>
        <v>41609</v>
      </c>
      <c r="AJ373" s="129">
        <f>INDEX($C$42:$N$45,INT((AG373+11)/12),AG373-(12*(INT((AG373+11)/12)-1)))</f>
        <v>0</v>
      </c>
      <c r="AK373" s="129">
        <f t="array" ref="AK373">INDEX($P$42:$P$45,MATCH(AM373&amp;YEAR(AI373),$A$42:$A$45&amp;YEAR($B$42:$B$45),0))</f>
        <v>0</v>
      </c>
      <c r="AL373" s="129" t="s">
        <v>1473</v>
      </c>
      <c r="AM373" s="129" t="str">
        <f>INDEX($A$42:$A$45,INT((AG373+11)/12))</f>
        <v>Transfer from Other Funds (370-**)</v>
      </c>
    </row>
  </sheetData>
  <printOptions gridLines="1"/>
  <pageMargins left="0.75" right="0.75" top="1" bottom="1" header="0.5" footer="0.5"/>
  <pageSetup scale="54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71"/>
  <sheetViews>
    <sheetView zoomScale="130" zoomScaleNormal="130" workbookViewId="0">
      <selection activeCell="B35" sqref="B35"/>
    </sheetView>
  </sheetViews>
  <sheetFormatPr defaultRowHeight="15" x14ac:dyDescent="0.25"/>
  <cols>
    <col min="1" max="1" width="17.5703125" style="125" customWidth="1"/>
    <col min="2" max="2" width="21.85546875" style="125" bestFit="1" customWidth="1"/>
    <col min="3" max="3" width="30.28515625" style="125" bestFit="1" customWidth="1"/>
    <col min="4" max="4" width="18" style="125" bestFit="1" customWidth="1"/>
    <col min="5" max="5" width="22.28515625" style="125" bestFit="1" customWidth="1"/>
    <col min="6" max="16384" width="9.140625" style="125"/>
  </cols>
  <sheetData>
    <row r="1" spans="1:5" s="127" customFormat="1" x14ac:dyDescent="0.25">
      <c r="A1" s="127" t="s">
        <v>1472</v>
      </c>
      <c r="B1" s="127" t="s">
        <v>1471</v>
      </c>
      <c r="C1" s="127" t="s">
        <v>1470</v>
      </c>
      <c r="D1" s="127" t="s">
        <v>1469</v>
      </c>
      <c r="E1" s="128" t="s">
        <v>1468</v>
      </c>
    </row>
    <row r="2" spans="1:5" x14ac:dyDescent="0.25">
      <c r="A2" s="125" t="s">
        <v>1467</v>
      </c>
      <c r="B2" s="125" t="s">
        <v>1466</v>
      </c>
      <c r="C2" s="125" t="s">
        <v>1465</v>
      </c>
      <c r="D2" s="126" t="s">
        <v>1464</v>
      </c>
      <c r="E2" s="125" t="s">
        <v>1463</v>
      </c>
    </row>
    <row r="3" spans="1:5" x14ac:dyDescent="0.25">
      <c r="A3" s="125" t="s">
        <v>1462</v>
      </c>
      <c r="B3" s="125" t="s">
        <v>1461</v>
      </c>
      <c r="C3" s="125" t="s">
        <v>1460</v>
      </c>
      <c r="D3" s="126" t="s">
        <v>1459</v>
      </c>
      <c r="E3" s="125" t="s">
        <v>1458</v>
      </c>
    </row>
    <row r="4" spans="1:5" x14ac:dyDescent="0.25">
      <c r="A4" s="125" t="s">
        <v>1457</v>
      </c>
      <c r="B4" s="125" t="s">
        <v>1456</v>
      </c>
      <c r="C4" s="125" t="s">
        <v>1455</v>
      </c>
      <c r="D4" s="126" t="s">
        <v>1454</v>
      </c>
      <c r="E4" s="125" t="s">
        <v>1453</v>
      </c>
    </row>
    <row r="5" spans="1:5" x14ac:dyDescent="0.25">
      <c r="A5" s="125" t="s">
        <v>1452</v>
      </c>
      <c r="B5" s="125" t="s">
        <v>1451</v>
      </c>
      <c r="C5" s="125" t="s">
        <v>1450</v>
      </c>
      <c r="D5" s="126" t="s">
        <v>1449</v>
      </c>
      <c r="E5" s="125" t="s">
        <v>1448</v>
      </c>
    </row>
    <row r="6" spans="1:5" x14ac:dyDescent="0.25">
      <c r="A6" s="125" t="s">
        <v>1447</v>
      </c>
      <c r="B6" s="125" t="s">
        <v>1446</v>
      </c>
      <c r="C6" s="125" t="s">
        <v>1445</v>
      </c>
      <c r="D6" s="126" t="s">
        <v>1444</v>
      </c>
      <c r="E6" s="125" t="s">
        <v>1443</v>
      </c>
    </row>
    <row r="7" spans="1:5" x14ac:dyDescent="0.25">
      <c r="A7" s="125" t="s">
        <v>1442</v>
      </c>
      <c r="B7" s="125" t="s">
        <v>1441</v>
      </c>
      <c r="C7" s="125" t="s">
        <v>1440</v>
      </c>
      <c r="D7" s="126" t="s">
        <v>1439</v>
      </c>
      <c r="E7" s="125" t="s">
        <v>1438</v>
      </c>
    </row>
    <row r="8" spans="1:5" x14ac:dyDescent="0.25">
      <c r="A8" s="125" t="s">
        <v>1437</v>
      </c>
      <c r="B8" s="125" t="s">
        <v>1436</v>
      </c>
      <c r="C8" s="125" t="s">
        <v>1435</v>
      </c>
      <c r="D8" s="126" t="s">
        <v>1434</v>
      </c>
      <c r="E8" s="125" t="s">
        <v>1433</v>
      </c>
    </row>
    <row r="9" spans="1:5" x14ac:dyDescent="0.25">
      <c r="A9" s="125" t="s">
        <v>1432</v>
      </c>
      <c r="B9" s="125" t="s">
        <v>1431</v>
      </c>
      <c r="C9" s="125" t="s">
        <v>1430</v>
      </c>
      <c r="D9" s="126" t="s">
        <v>1429</v>
      </c>
      <c r="E9" s="125" t="s">
        <v>1428</v>
      </c>
    </row>
    <row r="10" spans="1:5" x14ac:dyDescent="0.25">
      <c r="A10" s="125" t="s">
        <v>1427</v>
      </c>
      <c r="B10" s="125" t="s">
        <v>1426</v>
      </c>
      <c r="C10" s="125" t="s">
        <v>1425</v>
      </c>
      <c r="D10" s="126" t="s">
        <v>1424</v>
      </c>
      <c r="E10" s="125" t="s">
        <v>1423</v>
      </c>
    </row>
    <row r="11" spans="1:5" x14ac:dyDescent="0.25">
      <c r="A11" s="125" t="s">
        <v>1422</v>
      </c>
      <c r="B11" s="125" t="s">
        <v>1421</v>
      </c>
      <c r="C11" s="125" t="s">
        <v>1420</v>
      </c>
      <c r="D11" s="126" t="s">
        <v>1419</v>
      </c>
      <c r="E11" s="125" t="s">
        <v>1418</v>
      </c>
    </row>
    <row r="12" spans="1:5" x14ac:dyDescent="0.25">
      <c r="A12" s="125" t="s">
        <v>1417</v>
      </c>
      <c r="B12" s="125" t="s">
        <v>1416</v>
      </c>
      <c r="C12" s="125" t="s">
        <v>1415</v>
      </c>
      <c r="D12" s="126" t="s">
        <v>1414</v>
      </c>
      <c r="E12" s="125" t="s">
        <v>1413</v>
      </c>
    </row>
    <row r="13" spans="1:5" x14ac:dyDescent="0.25">
      <c r="A13" s="125" t="s">
        <v>1412</v>
      </c>
      <c r="B13" s="125" t="s">
        <v>1411</v>
      </c>
      <c r="C13" s="125" t="s">
        <v>1410</v>
      </c>
      <c r="D13" s="126" t="s">
        <v>1409</v>
      </c>
      <c r="E13" s="125" t="s">
        <v>1408</v>
      </c>
    </row>
    <row r="14" spans="1:5" x14ac:dyDescent="0.25">
      <c r="A14" s="125" t="s">
        <v>1407</v>
      </c>
      <c r="B14" s="125" t="s">
        <v>1406</v>
      </c>
      <c r="C14" s="125" t="s">
        <v>1405</v>
      </c>
      <c r="D14" s="126" t="s">
        <v>1404</v>
      </c>
      <c r="E14" s="125" t="s">
        <v>1403</v>
      </c>
    </row>
    <row r="15" spans="1:5" x14ac:dyDescent="0.25">
      <c r="A15" s="125" t="s">
        <v>1402</v>
      </c>
      <c r="B15" s="125" t="s">
        <v>1401</v>
      </c>
      <c r="C15" s="125" t="s">
        <v>1400</v>
      </c>
      <c r="D15" s="126" t="s">
        <v>1399</v>
      </c>
      <c r="E15" s="125" t="s">
        <v>1398</v>
      </c>
    </row>
    <row r="16" spans="1:5" x14ac:dyDescent="0.25">
      <c r="A16" s="125" t="s">
        <v>1397</v>
      </c>
      <c r="B16" s="125" t="s">
        <v>1396</v>
      </c>
      <c r="C16" s="125" t="s">
        <v>1395</v>
      </c>
      <c r="D16" s="126" t="s">
        <v>1394</v>
      </c>
      <c r="E16" s="125" t="s">
        <v>1393</v>
      </c>
    </row>
    <row r="17" spans="1:5" x14ac:dyDescent="0.25">
      <c r="A17" s="125" t="s">
        <v>1392</v>
      </c>
      <c r="B17" s="125" t="s">
        <v>1391</v>
      </c>
      <c r="C17" s="125" t="s">
        <v>1390</v>
      </c>
      <c r="D17" s="126" t="s">
        <v>1389</v>
      </c>
      <c r="E17" s="125" t="s">
        <v>1388</v>
      </c>
    </row>
    <row r="18" spans="1:5" x14ac:dyDescent="0.25">
      <c r="A18" s="125" t="s">
        <v>1387</v>
      </c>
      <c r="B18" s="125" t="s">
        <v>1386</v>
      </c>
      <c r="C18" s="125" t="s">
        <v>1385</v>
      </c>
      <c r="D18" s="126" t="s">
        <v>1384</v>
      </c>
      <c r="E18" s="125" t="s">
        <v>1383</v>
      </c>
    </row>
    <row r="19" spans="1:5" x14ac:dyDescent="0.25">
      <c r="A19" s="125" t="s">
        <v>1382</v>
      </c>
      <c r="B19" s="125" t="s">
        <v>1381</v>
      </c>
      <c r="C19" s="125" t="s">
        <v>1380</v>
      </c>
      <c r="D19" s="126" t="s">
        <v>1379</v>
      </c>
      <c r="E19" s="125" t="s">
        <v>1378</v>
      </c>
    </row>
    <row r="20" spans="1:5" x14ac:dyDescent="0.25">
      <c r="A20" s="125" t="s">
        <v>1377</v>
      </c>
      <c r="B20" s="125" t="s">
        <v>1376</v>
      </c>
      <c r="C20" s="125" t="s">
        <v>1375</v>
      </c>
      <c r="D20" s="126" t="s">
        <v>1374</v>
      </c>
      <c r="E20" s="125" t="s">
        <v>1373</v>
      </c>
    </row>
    <row r="21" spans="1:5" x14ac:dyDescent="0.25">
      <c r="A21" s="125" t="s">
        <v>1372</v>
      </c>
      <c r="B21" s="125" t="s">
        <v>1371</v>
      </c>
      <c r="C21" s="125" t="s">
        <v>1370</v>
      </c>
      <c r="D21" s="126" t="s">
        <v>1369</v>
      </c>
      <c r="E21" s="125" t="s">
        <v>1368</v>
      </c>
    </row>
    <row r="22" spans="1:5" x14ac:dyDescent="0.25">
      <c r="A22" s="125" t="s">
        <v>1367</v>
      </c>
      <c r="B22" s="125" t="s">
        <v>1366</v>
      </c>
      <c r="C22" s="125" t="s">
        <v>1365</v>
      </c>
      <c r="D22" s="126" t="s">
        <v>1364</v>
      </c>
      <c r="E22" s="125" t="s">
        <v>1363</v>
      </c>
    </row>
    <row r="23" spans="1:5" x14ac:dyDescent="0.25">
      <c r="A23" s="125" t="s">
        <v>1362</v>
      </c>
      <c r="B23" s="125" t="s">
        <v>1361</v>
      </c>
      <c r="C23" s="125" t="s">
        <v>1360</v>
      </c>
      <c r="D23" s="126" t="s">
        <v>1359</v>
      </c>
      <c r="E23" s="125" t="s">
        <v>1358</v>
      </c>
    </row>
    <row r="24" spans="1:5" x14ac:dyDescent="0.25">
      <c r="A24" s="125" t="s">
        <v>1357</v>
      </c>
      <c r="B24" s="125" t="s">
        <v>1356</v>
      </c>
      <c r="C24" s="125" t="s">
        <v>1355</v>
      </c>
      <c r="D24" s="126" t="s">
        <v>1354</v>
      </c>
      <c r="E24" s="125" t="s">
        <v>1353</v>
      </c>
    </row>
    <row r="25" spans="1:5" x14ac:dyDescent="0.25">
      <c r="A25" s="125" t="s">
        <v>1352</v>
      </c>
      <c r="B25" s="125" t="s">
        <v>1351</v>
      </c>
      <c r="C25" s="125" t="s">
        <v>1350</v>
      </c>
      <c r="D25" s="126" t="s">
        <v>1349</v>
      </c>
      <c r="E25" s="125" t="s">
        <v>1348</v>
      </c>
    </row>
    <row r="26" spans="1:5" x14ac:dyDescent="0.25">
      <c r="A26" s="125" t="s">
        <v>1347</v>
      </c>
      <c r="B26" s="125" t="s">
        <v>1346</v>
      </c>
      <c r="C26" s="125" t="s">
        <v>1345</v>
      </c>
      <c r="D26" s="126" t="s">
        <v>1344</v>
      </c>
      <c r="E26" s="125" t="s">
        <v>1343</v>
      </c>
    </row>
    <row r="27" spans="1:5" x14ac:dyDescent="0.25">
      <c r="A27" s="125" t="s">
        <v>1342</v>
      </c>
      <c r="B27" s="125" t="s">
        <v>1341</v>
      </c>
      <c r="C27" s="125" t="s">
        <v>1340</v>
      </c>
      <c r="D27" s="126" t="s">
        <v>1339</v>
      </c>
      <c r="E27" s="125" t="s">
        <v>1338</v>
      </c>
    </row>
    <row r="28" spans="1:5" x14ac:dyDescent="0.25">
      <c r="A28" s="125" t="s">
        <v>1337</v>
      </c>
      <c r="B28" s="125" t="s">
        <v>1336</v>
      </c>
      <c r="C28" s="125" t="s">
        <v>1134</v>
      </c>
      <c r="D28" s="126" t="s">
        <v>1335</v>
      </c>
      <c r="E28" s="125" t="s">
        <v>1334</v>
      </c>
    </row>
    <row r="29" spans="1:5" x14ac:dyDescent="0.25">
      <c r="A29" s="125" t="s">
        <v>1333</v>
      </c>
      <c r="B29" s="125" t="s">
        <v>1332</v>
      </c>
      <c r="C29" s="125" t="s">
        <v>1331</v>
      </c>
      <c r="D29" s="126" t="s">
        <v>1330</v>
      </c>
      <c r="E29" s="125" t="s">
        <v>1329</v>
      </c>
    </row>
    <row r="30" spans="1:5" x14ac:dyDescent="0.25">
      <c r="A30" s="125" t="s">
        <v>1328</v>
      </c>
      <c r="B30" s="125" t="s">
        <v>1327</v>
      </c>
      <c r="C30" s="125" t="s">
        <v>1326</v>
      </c>
      <c r="D30" s="126" t="s">
        <v>1325</v>
      </c>
      <c r="E30" s="125" t="s">
        <v>1324</v>
      </c>
    </row>
    <row r="31" spans="1:5" x14ac:dyDescent="0.25">
      <c r="A31" s="125" t="s">
        <v>1323</v>
      </c>
      <c r="B31" s="125" t="s">
        <v>1322</v>
      </c>
      <c r="C31" s="125" t="s">
        <v>1288</v>
      </c>
      <c r="D31" s="126" t="s">
        <v>1321</v>
      </c>
      <c r="E31" s="125" t="s">
        <v>1320</v>
      </c>
    </row>
    <row r="32" spans="1:5" x14ac:dyDescent="0.25">
      <c r="A32" s="125" t="s">
        <v>1319</v>
      </c>
      <c r="B32" s="125" t="s">
        <v>1318</v>
      </c>
      <c r="C32" s="125" t="s">
        <v>1317</v>
      </c>
      <c r="D32" s="126" t="s">
        <v>1316</v>
      </c>
      <c r="E32" s="125" t="s">
        <v>1315</v>
      </c>
    </row>
    <row r="33" spans="1:5" x14ac:dyDescent="0.25">
      <c r="A33" s="125" t="s">
        <v>1314</v>
      </c>
      <c r="B33" s="125" t="s">
        <v>1313</v>
      </c>
      <c r="C33" s="125" t="s">
        <v>1312</v>
      </c>
      <c r="D33" s="126" t="s">
        <v>1311</v>
      </c>
      <c r="E33" s="125" t="s">
        <v>1310</v>
      </c>
    </row>
    <row r="34" spans="1:5" x14ac:dyDescent="0.25">
      <c r="A34" s="125" t="s">
        <v>1309</v>
      </c>
      <c r="B34" s="125" t="s">
        <v>1308</v>
      </c>
      <c r="C34" s="125" t="s">
        <v>1307</v>
      </c>
      <c r="D34" s="126" t="s">
        <v>1306</v>
      </c>
      <c r="E34" s="125" t="s">
        <v>1305</v>
      </c>
    </row>
    <row r="35" spans="1:5" x14ac:dyDescent="0.25">
      <c r="A35" s="125" t="s">
        <v>1304</v>
      </c>
      <c r="B35" s="125" t="s">
        <v>1303</v>
      </c>
      <c r="C35" s="125" t="s">
        <v>1302</v>
      </c>
      <c r="D35" s="126" t="s">
        <v>1301</v>
      </c>
      <c r="E35" s="125" t="s">
        <v>1300</v>
      </c>
    </row>
    <row r="36" spans="1:5" x14ac:dyDescent="0.25">
      <c r="A36" s="125" t="s">
        <v>1299</v>
      </c>
      <c r="B36" s="125" t="s">
        <v>1298</v>
      </c>
      <c r="C36" s="125" t="s">
        <v>1297</v>
      </c>
      <c r="D36" s="126" t="s">
        <v>1296</v>
      </c>
      <c r="E36" s="125" t="s">
        <v>1295</v>
      </c>
    </row>
    <row r="37" spans="1:5" x14ac:dyDescent="0.25">
      <c r="A37" s="125" t="s">
        <v>1294</v>
      </c>
      <c r="B37" s="125" t="s">
        <v>1293</v>
      </c>
      <c r="C37" s="125" t="s">
        <v>1292</v>
      </c>
      <c r="D37" s="126" t="s">
        <v>1188</v>
      </c>
      <c r="E37" s="125" t="s">
        <v>1291</v>
      </c>
    </row>
    <row r="38" spans="1:5" x14ac:dyDescent="0.25">
      <c r="A38" s="125" t="s">
        <v>1290</v>
      </c>
      <c r="B38" s="125" t="s">
        <v>1289</v>
      </c>
      <c r="C38" s="125" t="s">
        <v>1288</v>
      </c>
      <c r="D38" s="126" t="s">
        <v>1287</v>
      </c>
      <c r="E38" s="125" t="s">
        <v>1286</v>
      </c>
    </row>
    <row r="39" spans="1:5" x14ac:dyDescent="0.25">
      <c r="A39" s="125" t="s">
        <v>1285</v>
      </c>
      <c r="B39" s="125" t="s">
        <v>1284</v>
      </c>
      <c r="C39" s="125" t="s">
        <v>1283</v>
      </c>
      <c r="D39" s="126" t="s">
        <v>1282</v>
      </c>
      <c r="E39" s="125" t="s">
        <v>1281</v>
      </c>
    </row>
    <row r="40" spans="1:5" x14ac:dyDescent="0.25">
      <c r="A40" s="125" t="s">
        <v>1280</v>
      </c>
      <c r="B40" s="125" t="s">
        <v>1279</v>
      </c>
      <c r="C40" s="125" t="s">
        <v>1278</v>
      </c>
      <c r="D40" s="126" t="s">
        <v>1277</v>
      </c>
      <c r="E40" s="125" t="s">
        <v>1276</v>
      </c>
    </row>
    <row r="41" spans="1:5" x14ac:dyDescent="0.25">
      <c r="A41" s="125" t="s">
        <v>1275</v>
      </c>
      <c r="B41" s="125" t="s">
        <v>1274</v>
      </c>
      <c r="C41" s="125" t="s">
        <v>1273</v>
      </c>
      <c r="D41" s="126" t="s">
        <v>1272</v>
      </c>
      <c r="E41" s="125" t="s">
        <v>1271</v>
      </c>
    </row>
    <row r="42" spans="1:5" x14ac:dyDescent="0.25">
      <c r="A42" s="125" t="s">
        <v>1270</v>
      </c>
      <c r="B42" s="125" t="s">
        <v>1269</v>
      </c>
      <c r="C42" s="125" t="s">
        <v>1268</v>
      </c>
      <c r="D42" s="126" t="s">
        <v>1267</v>
      </c>
      <c r="E42" s="125" t="s">
        <v>1266</v>
      </c>
    </row>
    <row r="43" spans="1:5" x14ac:dyDescent="0.25">
      <c r="A43" s="125" t="s">
        <v>1265</v>
      </c>
      <c r="B43" s="125" t="s">
        <v>1264</v>
      </c>
      <c r="C43" s="125" t="s">
        <v>1263</v>
      </c>
      <c r="D43" s="126" t="s">
        <v>1262</v>
      </c>
      <c r="E43" s="125" t="s">
        <v>1261</v>
      </c>
    </row>
    <row r="44" spans="1:5" x14ac:dyDescent="0.25">
      <c r="A44" s="125" t="s">
        <v>1260</v>
      </c>
      <c r="B44" s="125" t="s">
        <v>1259</v>
      </c>
      <c r="C44" s="125" t="s">
        <v>1258</v>
      </c>
      <c r="D44" s="126" t="s">
        <v>1257</v>
      </c>
      <c r="E44" s="125" t="s">
        <v>1256</v>
      </c>
    </row>
    <row r="45" spans="1:5" x14ac:dyDescent="0.25">
      <c r="A45" s="125" t="s">
        <v>1255</v>
      </c>
      <c r="B45" s="125" t="s">
        <v>1254</v>
      </c>
      <c r="C45" s="125" t="s">
        <v>1253</v>
      </c>
      <c r="D45" s="126" t="s">
        <v>1252</v>
      </c>
      <c r="E45" s="125" t="s">
        <v>1251</v>
      </c>
    </row>
    <row r="46" spans="1:5" x14ac:dyDescent="0.25">
      <c r="A46" s="125" t="s">
        <v>1250</v>
      </c>
      <c r="B46" s="125" t="s">
        <v>1249</v>
      </c>
      <c r="C46" s="125" t="s">
        <v>1214</v>
      </c>
      <c r="D46" s="126" t="s">
        <v>1248</v>
      </c>
      <c r="E46" s="125" t="s">
        <v>1247</v>
      </c>
    </row>
    <row r="47" spans="1:5" x14ac:dyDescent="0.25">
      <c r="A47" s="125" t="s">
        <v>1246</v>
      </c>
      <c r="B47" s="125" t="s">
        <v>1245</v>
      </c>
      <c r="C47" s="125" t="s">
        <v>1244</v>
      </c>
      <c r="D47" s="126" t="s">
        <v>1243</v>
      </c>
      <c r="E47" s="125" t="s">
        <v>1242</v>
      </c>
    </row>
    <row r="48" spans="1:5" x14ac:dyDescent="0.25">
      <c r="A48" s="125" t="s">
        <v>1241</v>
      </c>
      <c r="B48" s="125" t="s">
        <v>1240</v>
      </c>
      <c r="C48" s="125" t="s">
        <v>1239</v>
      </c>
      <c r="D48" s="126" t="s">
        <v>1238</v>
      </c>
      <c r="E48" s="125" t="s">
        <v>1237</v>
      </c>
    </row>
    <row r="49" spans="1:5" x14ac:dyDescent="0.25">
      <c r="A49" s="125" t="s">
        <v>1236</v>
      </c>
      <c r="B49" s="125" t="s">
        <v>1235</v>
      </c>
      <c r="C49" s="125" t="s">
        <v>1234</v>
      </c>
      <c r="D49" s="126" t="s">
        <v>1233</v>
      </c>
      <c r="E49" s="125" t="s">
        <v>1232</v>
      </c>
    </row>
    <row r="50" spans="1:5" x14ac:dyDescent="0.25">
      <c r="A50" s="125" t="s">
        <v>1231</v>
      </c>
      <c r="B50" s="125" t="s">
        <v>1230</v>
      </c>
      <c r="C50" s="125" t="s">
        <v>1229</v>
      </c>
      <c r="D50" s="126" t="s">
        <v>1228</v>
      </c>
      <c r="E50" s="125" t="s">
        <v>1227</v>
      </c>
    </row>
    <row r="51" spans="1:5" x14ac:dyDescent="0.25">
      <c r="A51" s="125" t="s">
        <v>1226</v>
      </c>
      <c r="B51" s="125" t="s">
        <v>1225</v>
      </c>
      <c r="C51" s="125" t="s">
        <v>1224</v>
      </c>
      <c r="D51" s="126" t="s">
        <v>1223</v>
      </c>
      <c r="E51" s="125" t="s">
        <v>1222</v>
      </c>
    </row>
    <row r="52" spans="1:5" x14ac:dyDescent="0.25">
      <c r="A52" s="125" t="s">
        <v>1221</v>
      </c>
      <c r="B52" s="125" t="s">
        <v>1220</v>
      </c>
      <c r="C52" s="125" t="s">
        <v>1219</v>
      </c>
      <c r="D52" s="126" t="s">
        <v>1218</v>
      </c>
      <c r="E52" s="125" t="s">
        <v>1217</v>
      </c>
    </row>
    <row r="53" spans="1:5" x14ac:dyDescent="0.25">
      <c r="A53" s="125" t="s">
        <v>1216</v>
      </c>
      <c r="B53" s="125" t="s">
        <v>1215</v>
      </c>
      <c r="C53" s="125" t="s">
        <v>1214</v>
      </c>
      <c r="D53" s="126" t="s">
        <v>1213</v>
      </c>
      <c r="E53" s="125" t="s">
        <v>1212</v>
      </c>
    </row>
    <row r="54" spans="1:5" x14ac:dyDescent="0.25">
      <c r="A54" s="125" t="s">
        <v>1211</v>
      </c>
      <c r="B54" s="125" t="s">
        <v>1210</v>
      </c>
      <c r="C54" s="125" t="s">
        <v>1209</v>
      </c>
      <c r="D54" s="126" t="s">
        <v>1208</v>
      </c>
      <c r="E54" s="125" t="s">
        <v>1207</v>
      </c>
    </row>
    <row r="55" spans="1:5" x14ac:dyDescent="0.25">
      <c r="A55" s="125" t="s">
        <v>1206</v>
      </c>
      <c r="B55" s="125" t="s">
        <v>1205</v>
      </c>
      <c r="C55" s="125" t="s">
        <v>1204</v>
      </c>
      <c r="D55" s="126" t="s">
        <v>1203</v>
      </c>
      <c r="E55" s="125" t="s">
        <v>1202</v>
      </c>
    </row>
    <row r="56" spans="1:5" x14ac:dyDescent="0.25">
      <c r="A56" s="125" t="s">
        <v>1201</v>
      </c>
      <c r="B56" s="125" t="s">
        <v>1200</v>
      </c>
      <c r="C56" s="125" t="s">
        <v>1199</v>
      </c>
      <c r="D56" s="126" t="s">
        <v>1198</v>
      </c>
      <c r="E56" s="125" t="s">
        <v>1197</v>
      </c>
    </row>
    <row r="57" spans="1:5" x14ac:dyDescent="0.25">
      <c r="A57" s="125" t="s">
        <v>1196</v>
      </c>
      <c r="B57" s="125" t="s">
        <v>1195</v>
      </c>
      <c r="C57" s="125" t="s">
        <v>1194</v>
      </c>
      <c r="D57" s="126" t="s">
        <v>1193</v>
      </c>
      <c r="E57" s="125" t="s">
        <v>1192</v>
      </c>
    </row>
    <row r="58" spans="1:5" x14ac:dyDescent="0.25">
      <c r="A58" s="125" t="s">
        <v>1191</v>
      </c>
      <c r="B58" s="125" t="s">
        <v>1190</v>
      </c>
      <c r="C58" s="125" t="s">
        <v>1189</v>
      </c>
      <c r="D58" s="126" t="s">
        <v>1188</v>
      </c>
      <c r="E58" s="125" t="s">
        <v>1187</v>
      </c>
    </row>
    <row r="59" spans="1:5" x14ac:dyDescent="0.25">
      <c r="A59" s="125" t="s">
        <v>1186</v>
      </c>
      <c r="B59" s="125" t="s">
        <v>1185</v>
      </c>
      <c r="C59" s="125" t="s">
        <v>1184</v>
      </c>
      <c r="D59" s="126" t="s">
        <v>1183</v>
      </c>
      <c r="E59" s="125" t="s">
        <v>1182</v>
      </c>
    </row>
    <row r="60" spans="1:5" x14ac:dyDescent="0.25">
      <c r="A60" s="125" t="s">
        <v>1181</v>
      </c>
      <c r="B60" s="125" t="s">
        <v>1180</v>
      </c>
      <c r="C60" s="125" t="s">
        <v>1179</v>
      </c>
      <c r="D60" s="126" t="s">
        <v>1178</v>
      </c>
      <c r="E60" s="125" t="s">
        <v>1177</v>
      </c>
    </row>
    <row r="61" spans="1:5" x14ac:dyDescent="0.25">
      <c r="A61" s="125" t="s">
        <v>1176</v>
      </c>
      <c r="B61" s="125" t="s">
        <v>1175</v>
      </c>
      <c r="C61" s="125" t="s">
        <v>1174</v>
      </c>
      <c r="D61" s="126" t="s">
        <v>1173</v>
      </c>
      <c r="E61" s="125" t="s">
        <v>1172</v>
      </c>
    </row>
    <row r="62" spans="1:5" x14ac:dyDescent="0.25">
      <c r="A62" s="125" t="s">
        <v>1171</v>
      </c>
      <c r="B62" s="125" t="s">
        <v>1170</v>
      </c>
      <c r="C62" s="125" t="s">
        <v>1169</v>
      </c>
      <c r="D62" s="126" t="s">
        <v>1168</v>
      </c>
      <c r="E62" s="125" t="s">
        <v>1167</v>
      </c>
    </row>
    <row r="63" spans="1:5" x14ac:dyDescent="0.25">
      <c r="A63" s="125" t="s">
        <v>1166</v>
      </c>
      <c r="B63" s="125" t="s">
        <v>1165</v>
      </c>
      <c r="C63" s="125" t="s">
        <v>1164</v>
      </c>
      <c r="D63" s="126" t="s">
        <v>1163</v>
      </c>
      <c r="E63" s="125" t="s">
        <v>1162</v>
      </c>
    </row>
    <row r="64" spans="1:5" x14ac:dyDescent="0.25">
      <c r="A64" s="125" t="s">
        <v>1161</v>
      </c>
      <c r="B64" s="125" t="s">
        <v>1160</v>
      </c>
      <c r="C64" s="125" t="s">
        <v>1159</v>
      </c>
      <c r="D64" s="126" t="s">
        <v>1158</v>
      </c>
      <c r="E64" s="125" t="s">
        <v>1157</v>
      </c>
    </row>
    <row r="65" spans="1:5" x14ac:dyDescent="0.25">
      <c r="A65" s="125" t="s">
        <v>1156</v>
      </c>
      <c r="B65" s="125" t="s">
        <v>1155</v>
      </c>
      <c r="C65" s="125" t="s">
        <v>1154</v>
      </c>
      <c r="D65" s="126" t="s">
        <v>1153</v>
      </c>
      <c r="E65" s="125" t="s">
        <v>1152</v>
      </c>
    </row>
    <row r="66" spans="1:5" x14ac:dyDescent="0.25">
      <c r="A66" s="125" t="s">
        <v>1151</v>
      </c>
      <c r="B66" s="125" t="s">
        <v>1150</v>
      </c>
      <c r="C66" s="125" t="s">
        <v>1149</v>
      </c>
      <c r="D66" s="126" t="s">
        <v>1148</v>
      </c>
      <c r="E66" s="125" t="s">
        <v>1147</v>
      </c>
    </row>
    <row r="67" spans="1:5" x14ac:dyDescent="0.25">
      <c r="A67" s="125" t="s">
        <v>1146</v>
      </c>
      <c r="B67" s="125" t="s">
        <v>1145</v>
      </c>
      <c r="C67" s="125" t="s">
        <v>1144</v>
      </c>
      <c r="D67" s="126" t="s">
        <v>1143</v>
      </c>
      <c r="E67" s="125" t="s">
        <v>1142</v>
      </c>
    </row>
    <row r="68" spans="1:5" x14ac:dyDescent="0.25">
      <c r="A68" s="125" t="s">
        <v>1141</v>
      </c>
      <c r="B68" s="125" t="s">
        <v>1140</v>
      </c>
      <c r="C68" s="125" t="s">
        <v>1139</v>
      </c>
      <c r="D68" s="126" t="s">
        <v>1138</v>
      </c>
      <c r="E68" s="125" t="s">
        <v>1137</v>
      </c>
    </row>
    <row r="69" spans="1:5" x14ac:dyDescent="0.25">
      <c r="A69" s="125" t="s">
        <v>1136</v>
      </c>
      <c r="B69" s="125" t="s">
        <v>1135</v>
      </c>
      <c r="C69" s="125" t="s">
        <v>1134</v>
      </c>
      <c r="D69" s="126" t="s">
        <v>1133</v>
      </c>
      <c r="E69" s="125" t="s">
        <v>1132</v>
      </c>
    </row>
    <row r="70" spans="1:5" x14ac:dyDescent="0.25">
      <c r="A70" s="125" t="s">
        <v>1131</v>
      </c>
      <c r="B70" s="125" t="s">
        <v>1130</v>
      </c>
      <c r="C70" s="125" t="s">
        <v>1129</v>
      </c>
      <c r="D70" s="126" t="s">
        <v>1128</v>
      </c>
      <c r="E70" s="125" t="s">
        <v>1127</v>
      </c>
    </row>
    <row r="71" spans="1:5" x14ac:dyDescent="0.25">
      <c r="A71" s="125" t="s">
        <v>1126</v>
      </c>
      <c r="B71" s="125" t="s">
        <v>1125</v>
      </c>
      <c r="C71" s="125" t="s">
        <v>1124</v>
      </c>
      <c r="D71" s="126" t="s">
        <v>1123</v>
      </c>
      <c r="E71" s="125" t="s">
        <v>1122</v>
      </c>
    </row>
    <row r="72" spans="1:5" x14ac:dyDescent="0.25">
      <c r="A72" s="125" t="s">
        <v>1121</v>
      </c>
      <c r="B72" s="125" t="s">
        <v>1120</v>
      </c>
      <c r="C72" s="125" t="s">
        <v>1119</v>
      </c>
      <c r="D72" s="126" t="s">
        <v>1118</v>
      </c>
      <c r="E72" s="125" t="s">
        <v>1117</v>
      </c>
    </row>
    <row r="73" spans="1:5" x14ac:dyDescent="0.25">
      <c r="A73" s="125" t="s">
        <v>1116</v>
      </c>
      <c r="B73" s="125" t="s">
        <v>1115</v>
      </c>
      <c r="C73" s="125" t="s">
        <v>1114</v>
      </c>
      <c r="D73" s="126" t="s">
        <v>1113</v>
      </c>
      <c r="E73" s="125" t="s">
        <v>1112</v>
      </c>
    </row>
    <row r="74" spans="1:5" x14ac:dyDescent="0.25">
      <c r="A74" s="125" t="s">
        <v>1111</v>
      </c>
      <c r="B74" s="125" t="s">
        <v>1110</v>
      </c>
      <c r="C74" s="125" t="s">
        <v>1109</v>
      </c>
      <c r="D74" s="126" t="s">
        <v>1108</v>
      </c>
      <c r="E74" s="125" t="s">
        <v>1107</v>
      </c>
    </row>
    <row r="75" spans="1:5" x14ac:dyDescent="0.25">
      <c r="A75" s="125" t="s">
        <v>1106</v>
      </c>
      <c r="B75" s="125" t="s">
        <v>1105</v>
      </c>
      <c r="C75" s="125" t="s">
        <v>1104</v>
      </c>
      <c r="D75" s="126" t="s">
        <v>1103</v>
      </c>
      <c r="E75" s="125" t="s">
        <v>1102</v>
      </c>
    </row>
    <row r="76" spans="1:5" x14ac:dyDescent="0.25">
      <c r="A76" s="125" t="s">
        <v>1101</v>
      </c>
      <c r="B76" s="125" t="s">
        <v>1100</v>
      </c>
      <c r="C76" s="125" t="s">
        <v>1099</v>
      </c>
      <c r="D76" s="126" t="s">
        <v>1098</v>
      </c>
      <c r="E76" s="125" t="s">
        <v>1097</v>
      </c>
    </row>
    <row r="77" spans="1:5" x14ac:dyDescent="0.25">
      <c r="A77" s="125" t="s">
        <v>1096</v>
      </c>
      <c r="B77" s="125" t="s">
        <v>1095</v>
      </c>
      <c r="C77" s="125" t="s">
        <v>1094</v>
      </c>
      <c r="D77" s="126" t="s">
        <v>1093</v>
      </c>
      <c r="E77" s="125" t="s">
        <v>1092</v>
      </c>
    </row>
    <row r="78" spans="1:5" x14ac:dyDescent="0.25">
      <c r="A78" s="125" t="s">
        <v>1091</v>
      </c>
      <c r="B78" s="125" t="s">
        <v>1090</v>
      </c>
      <c r="C78" s="125" t="s">
        <v>1089</v>
      </c>
      <c r="D78" s="126" t="s">
        <v>1088</v>
      </c>
      <c r="E78" s="125" t="s">
        <v>1087</v>
      </c>
    </row>
    <row r="79" spans="1:5" x14ac:dyDescent="0.25">
      <c r="A79" s="125" t="s">
        <v>1086</v>
      </c>
      <c r="B79" s="125" t="s">
        <v>1085</v>
      </c>
      <c r="C79" s="125" t="s">
        <v>1084</v>
      </c>
      <c r="D79" s="126" t="s">
        <v>1083</v>
      </c>
      <c r="E79" s="125" t="s">
        <v>1082</v>
      </c>
    </row>
    <row r="80" spans="1:5" x14ac:dyDescent="0.25">
      <c r="A80" s="125" t="s">
        <v>1081</v>
      </c>
      <c r="B80" s="125" t="s">
        <v>1080</v>
      </c>
      <c r="C80" s="125" t="s">
        <v>1079</v>
      </c>
      <c r="D80" s="126" t="s">
        <v>1078</v>
      </c>
      <c r="E80" s="125" t="s">
        <v>1077</v>
      </c>
    </row>
    <row r="83" spans="1:1" x14ac:dyDescent="0.25">
      <c r="A83" s="42"/>
    </row>
    <row r="84" spans="1:1" x14ac:dyDescent="0.25">
      <c r="A84" s="42"/>
    </row>
    <row r="85" spans="1:1" x14ac:dyDescent="0.25">
      <c r="A85" s="42"/>
    </row>
    <row r="86" spans="1:1" x14ac:dyDescent="0.25">
      <c r="A86" s="42"/>
    </row>
    <row r="87" spans="1:1" x14ac:dyDescent="0.25">
      <c r="A87" s="42"/>
    </row>
    <row r="88" spans="1:1" x14ac:dyDescent="0.25">
      <c r="A88" s="42"/>
    </row>
    <row r="89" spans="1:1" x14ac:dyDescent="0.25">
      <c r="A89" s="42"/>
    </row>
    <row r="90" spans="1:1" x14ac:dyDescent="0.25">
      <c r="A90" s="42"/>
    </row>
    <row r="91" spans="1:1" x14ac:dyDescent="0.25">
      <c r="A91" s="42"/>
    </row>
    <row r="92" spans="1:1" x14ac:dyDescent="0.25">
      <c r="A92" s="42"/>
    </row>
    <row r="93" spans="1:1" x14ac:dyDescent="0.25">
      <c r="A93" s="42"/>
    </row>
    <row r="94" spans="1:1" x14ac:dyDescent="0.25">
      <c r="A94" s="42"/>
    </row>
    <row r="95" spans="1:1" x14ac:dyDescent="0.25">
      <c r="A95" s="42"/>
    </row>
    <row r="96" spans="1:1" x14ac:dyDescent="0.25">
      <c r="A96" s="42"/>
    </row>
    <row r="97" spans="1:1" x14ac:dyDescent="0.25">
      <c r="A97" s="42"/>
    </row>
    <row r="98" spans="1:1" x14ac:dyDescent="0.25">
      <c r="A98" s="42"/>
    </row>
    <row r="99" spans="1:1" x14ac:dyDescent="0.25">
      <c r="A99" s="42"/>
    </row>
    <row r="100" spans="1:1" x14ac:dyDescent="0.25">
      <c r="A100" s="42"/>
    </row>
    <row r="101" spans="1:1" x14ac:dyDescent="0.25">
      <c r="A101" s="42"/>
    </row>
    <row r="102" spans="1:1" x14ac:dyDescent="0.25">
      <c r="A102" s="42"/>
    </row>
    <row r="103" spans="1:1" x14ac:dyDescent="0.25">
      <c r="A103" s="42"/>
    </row>
    <row r="104" spans="1:1" x14ac:dyDescent="0.25">
      <c r="A104" s="48"/>
    </row>
    <row r="105" spans="1:1" x14ac:dyDescent="0.25">
      <c r="A105" s="42"/>
    </row>
    <row r="106" spans="1:1" x14ac:dyDescent="0.25">
      <c r="A106" s="42"/>
    </row>
    <row r="107" spans="1:1" x14ac:dyDescent="0.25">
      <c r="A107" s="42"/>
    </row>
    <row r="108" spans="1:1" x14ac:dyDescent="0.25">
      <c r="A108" s="42"/>
    </row>
    <row r="109" spans="1:1" x14ac:dyDescent="0.25">
      <c r="A109" s="42"/>
    </row>
    <row r="110" spans="1:1" x14ac:dyDescent="0.25">
      <c r="A110" s="42"/>
    </row>
    <row r="111" spans="1:1" x14ac:dyDescent="0.25">
      <c r="A111" s="42"/>
    </row>
    <row r="112" spans="1:1" x14ac:dyDescent="0.25">
      <c r="A112" s="42"/>
    </row>
    <row r="113" spans="1:1" x14ac:dyDescent="0.25">
      <c r="A113" s="42"/>
    </row>
    <row r="114" spans="1:1" x14ac:dyDescent="0.25">
      <c r="A114" s="42"/>
    </row>
    <row r="115" spans="1:1" x14ac:dyDescent="0.25">
      <c r="A115" s="42"/>
    </row>
    <row r="116" spans="1:1" x14ac:dyDescent="0.25">
      <c r="A116" s="42"/>
    </row>
    <row r="117" spans="1:1" x14ac:dyDescent="0.25">
      <c r="A117" s="42"/>
    </row>
    <row r="118" spans="1:1" x14ac:dyDescent="0.25">
      <c r="A118" s="42"/>
    </row>
    <row r="119" spans="1:1" x14ac:dyDescent="0.25">
      <c r="A119" s="42"/>
    </row>
    <row r="120" spans="1:1" x14ac:dyDescent="0.25">
      <c r="A120" s="42"/>
    </row>
    <row r="121" spans="1:1" x14ac:dyDescent="0.25">
      <c r="A121" s="42"/>
    </row>
    <row r="122" spans="1:1" x14ac:dyDescent="0.25">
      <c r="A122" s="42"/>
    </row>
    <row r="123" spans="1:1" x14ac:dyDescent="0.25">
      <c r="A123" s="42"/>
    </row>
    <row r="124" spans="1:1" x14ac:dyDescent="0.25">
      <c r="A124" s="42"/>
    </row>
    <row r="125" spans="1:1" x14ac:dyDescent="0.25">
      <c r="A125" s="42"/>
    </row>
    <row r="126" spans="1:1" x14ac:dyDescent="0.25">
      <c r="A126" s="42"/>
    </row>
    <row r="127" spans="1:1" x14ac:dyDescent="0.25">
      <c r="A127" s="42"/>
    </row>
    <row r="128" spans="1:1" x14ac:dyDescent="0.25">
      <c r="A128" s="42"/>
    </row>
    <row r="129" spans="1:1" x14ac:dyDescent="0.25">
      <c r="A129" s="42"/>
    </row>
    <row r="130" spans="1:1" x14ac:dyDescent="0.25">
      <c r="A130" s="42"/>
    </row>
    <row r="131" spans="1:1" x14ac:dyDescent="0.25">
      <c r="A131" s="42"/>
    </row>
    <row r="132" spans="1:1" x14ac:dyDescent="0.25">
      <c r="A132" s="42"/>
    </row>
    <row r="133" spans="1:1" x14ac:dyDescent="0.25">
      <c r="A133" s="42"/>
    </row>
    <row r="134" spans="1:1" x14ac:dyDescent="0.25">
      <c r="A134" s="42"/>
    </row>
    <row r="135" spans="1:1" x14ac:dyDescent="0.25">
      <c r="A135" s="42"/>
    </row>
    <row r="136" spans="1:1" x14ac:dyDescent="0.25">
      <c r="A136" s="42"/>
    </row>
    <row r="137" spans="1:1" x14ac:dyDescent="0.25">
      <c r="A137" s="42"/>
    </row>
    <row r="138" spans="1:1" x14ac:dyDescent="0.25">
      <c r="A138" s="42"/>
    </row>
    <row r="139" spans="1:1" x14ac:dyDescent="0.25">
      <c r="A139" s="42"/>
    </row>
    <row r="140" spans="1:1" x14ac:dyDescent="0.25">
      <c r="A140" s="42"/>
    </row>
    <row r="141" spans="1:1" x14ac:dyDescent="0.25">
      <c r="A141" s="42"/>
    </row>
    <row r="142" spans="1:1" x14ac:dyDescent="0.25">
      <c r="A142" s="42"/>
    </row>
    <row r="143" spans="1:1" x14ac:dyDescent="0.25">
      <c r="A143" s="42"/>
    </row>
    <row r="144" spans="1:1" x14ac:dyDescent="0.25">
      <c r="A144" s="42"/>
    </row>
    <row r="145" spans="1:1" x14ac:dyDescent="0.25">
      <c r="A145" s="42"/>
    </row>
    <row r="146" spans="1:1" x14ac:dyDescent="0.25">
      <c r="A146" s="42"/>
    </row>
    <row r="147" spans="1:1" x14ac:dyDescent="0.25">
      <c r="A147" s="42"/>
    </row>
    <row r="148" spans="1:1" x14ac:dyDescent="0.25">
      <c r="A148" s="42"/>
    </row>
    <row r="149" spans="1:1" x14ac:dyDescent="0.25">
      <c r="A149" s="42"/>
    </row>
    <row r="150" spans="1:1" x14ac:dyDescent="0.25">
      <c r="A150" s="42"/>
    </row>
    <row r="151" spans="1:1" x14ac:dyDescent="0.25">
      <c r="A151" s="42"/>
    </row>
    <row r="152" spans="1:1" x14ac:dyDescent="0.25">
      <c r="A152" s="42"/>
    </row>
    <row r="153" spans="1:1" x14ac:dyDescent="0.25">
      <c r="A153" s="42"/>
    </row>
    <row r="154" spans="1:1" x14ac:dyDescent="0.25">
      <c r="A154" s="42"/>
    </row>
    <row r="155" spans="1:1" x14ac:dyDescent="0.25">
      <c r="A155" s="42"/>
    </row>
    <row r="156" spans="1:1" x14ac:dyDescent="0.25">
      <c r="A156" s="42"/>
    </row>
    <row r="157" spans="1:1" x14ac:dyDescent="0.25">
      <c r="A157" s="42"/>
    </row>
    <row r="158" spans="1:1" x14ac:dyDescent="0.25">
      <c r="A158" s="42"/>
    </row>
    <row r="159" spans="1:1" x14ac:dyDescent="0.25">
      <c r="A159" s="42"/>
    </row>
    <row r="160" spans="1:1" x14ac:dyDescent="0.25">
      <c r="A160" s="42"/>
    </row>
    <row r="161" spans="1:1" x14ac:dyDescent="0.25">
      <c r="A161" s="42"/>
    </row>
    <row r="162" spans="1:1" x14ac:dyDescent="0.25">
      <c r="A162" s="42"/>
    </row>
    <row r="163" spans="1:1" x14ac:dyDescent="0.25">
      <c r="A163" s="42"/>
    </row>
    <row r="164" spans="1:1" x14ac:dyDescent="0.25">
      <c r="A164" s="42"/>
    </row>
    <row r="165" spans="1:1" x14ac:dyDescent="0.25">
      <c r="A165" s="42"/>
    </row>
    <row r="166" spans="1:1" x14ac:dyDescent="0.25">
      <c r="A166" s="42"/>
    </row>
    <row r="167" spans="1:1" x14ac:dyDescent="0.25">
      <c r="A167" s="42"/>
    </row>
    <row r="168" spans="1:1" x14ac:dyDescent="0.25">
      <c r="A168" s="42"/>
    </row>
    <row r="169" spans="1:1" x14ac:dyDescent="0.25">
      <c r="A169" s="42"/>
    </row>
    <row r="170" spans="1:1" x14ac:dyDescent="0.25">
      <c r="A170" s="42"/>
    </row>
    <row r="171" spans="1:1" x14ac:dyDescent="0.25">
      <c r="A171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785"/>
  <sheetViews>
    <sheetView topLeftCell="A157" workbookViewId="0">
      <selection activeCell="B35" sqref="B35"/>
    </sheetView>
  </sheetViews>
  <sheetFormatPr defaultRowHeight="12.75" x14ac:dyDescent="0.2"/>
  <cols>
    <col min="1" max="1" width="27.7109375" style="93" bestFit="1" customWidth="1"/>
    <col min="2" max="2" width="8.7109375" style="93" bestFit="1" customWidth="1"/>
    <col min="3" max="3" width="27.7109375" style="93" bestFit="1" customWidth="1"/>
    <col min="4" max="4" width="9.42578125" style="93" bestFit="1" customWidth="1"/>
    <col min="5" max="5" width="9.5703125" style="93" bestFit="1" customWidth="1"/>
    <col min="6" max="6" width="6.140625" style="93" bestFit="1" customWidth="1"/>
    <col min="7" max="7" width="8.140625" style="93" bestFit="1" customWidth="1"/>
    <col min="8" max="8" width="9.5703125" style="93" bestFit="1" customWidth="1"/>
    <col min="9" max="9" width="10.85546875" style="93" bestFit="1" customWidth="1"/>
    <col min="10" max="16384" width="9.140625" style="93"/>
  </cols>
  <sheetData>
    <row r="1" spans="1:9" x14ac:dyDescent="0.2">
      <c r="A1" s="88" t="s">
        <v>229</v>
      </c>
      <c r="B1" s="89" t="s">
        <v>230</v>
      </c>
      <c r="C1" s="90" t="s">
        <v>231</v>
      </c>
      <c r="D1" s="90" t="s">
        <v>234</v>
      </c>
      <c r="E1" s="91" t="s">
        <v>235</v>
      </c>
      <c r="F1" s="91" t="s">
        <v>237</v>
      </c>
      <c r="G1" s="90" t="s">
        <v>238</v>
      </c>
      <c r="H1" s="92" t="s">
        <v>239</v>
      </c>
      <c r="I1" s="89" t="s">
        <v>240</v>
      </c>
    </row>
    <row r="2" spans="1:9" ht="13.5" x14ac:dyDescent="0.25">
      <c r="A2" s="94" t="s">
        <v>766</v>
      </c>
      <c r="B2" s="95" t="s">
        <v>245</v>
      </c>
      <c r="C2" s="94" t="s">
        <v>246</v>
      </c>
      <c r="D2" s="94" t="s">
        <v>256</v>
      </c>
      <c r="E2" s="96">
        <v>34861</v>
      </c>
      <c r="F2" s="97">
        <f ca="1">DATEDIF(E2,TODAY(),"Y")</f>
        <v>21</v>
      </c>
      <c r="G2" s="98" t="s">
        <v>257</v>
      </c>
      <c r="H2" s="99">
        <v>24550</v>
      </c>
      <c r="I2" s="100">
        <v>1</v>
      </c>
    </row>
    <row r="3" spans="1:9" ht="13.5" x14ac:dyDescent="0.25">
      <c r="A3" s="94" t="s">
        <v>1024</v>
      </c>
      <c r="B3" s="95" t="s">
        <v>245</v>
      </c>
      <c r="C3" s="94" t="s">
        <v>246</v>
      </c>
      <c r="D3" s="94" t="s">
        <v>247</v>
      </c>
      <c r="E3" s="96">
        <v>37107</v>
      </c>
      <c r="F3" s="97">
        <f ca="1">DATEDIF(E3,TODAY(),"Y")</f>
        <v>15</v>
      </c>
      <c r="G3" s="98"/>
      <c r="H3" s="99">
        <v>42540</v>
      </c>
      <c r="I3" s="100">
        <v>5</v>
      </c>
    </row>
    <row r="4" spans="1:9" ht="13.5" x14ac:dyDescent="0.25">
      <c r="A4" s="94" t="s">
        <v>627</v>
      </c>
      <c r="B4" s="95" t="s">
        <v>266</v>
      </c>
      <c r="C4" s="94" t="s">
        <v>246</v>
      </c>
      <c r="D4" s="94" t="s">
        <v>256</v>
      </c>
      <c r="E4" s="96">
        <v>38137</v>
      </c>
      <c r="F4" s="97">
        <f ca="1">DATEDIF(E4,TODAY(),"Y")</f>
        <v>12</v>
      </c>
      <c r="G4" s="98" t="s">
        <v>267</v>
      </c>
      <c r="H4" s="99">
        <v>72830</v>
      </c>
      <c r="I4" s="100">
        <v>2</v>
      </c>
    </row>
    <row r="5" spans="1:9" ht="13.5" x14ac:dyDescent="0.25">
      <c r="A5" s="94" t="s">
        <v>627</v>
      </c>
      <c r="B5" s="95" t="s">
        <v>266</v>
      </c>
      <c r="C5" s="94" t="s">
        <v>246</v>
      </c>
      <c r="D5" s="94" t="s">
        <v>256</v>
      </c>
      <c r="E5" s="96">
        <v>38137</v>
      </c>
      <c r="F5" s="97">
        <f ca="1">DATEDIF(E5,TODAY(),"Y")</f>
        <v>12</v>
      </c>
      <c r="G5" s="98" t="s">
        <v>267</v>
      </c>
      <c r="H5" s="99">
        <v>72830</v>
      </c>
      <c r="I5" s="100">
        <v>2</v>
      </c>
    </row>
    <row r="6" spans="1:9" ht="13.5" x14ac:dyDescent="0.25">
      <c r="A6" s="94" t="s">
        <v>619</v>
      </c>
      <c r="B6" s="95" t="s">
        <v>245</v>
      </c>
      <c r="C6" s="94" t="s">
        <v>246</v>
      </c>
      <c r="D6" s="94" t="s">
        <v>261</v>
      </c>
      <c r="E6" s="96">
        <v>31980</v>
      </c>
      <c r="F6" s="97">
        <f ca="1">DATEDIF(E6,TODAY(),"Y")</f>
        <v>29</v>
      </c>
      <c r="G6" s="98" t="s">
        <v>262</v>
      </c>
      <c r="H6" s="99">
        <v>26795</v>
      </c>
      <c r="I6" s="100">
        <v>4</v>
      </c>
    </row>
    <row r="7" spans="1:9" ht="13.5" x14ac:dyDescent="0.25">
      <c r="A7" s="94" t="s">
        <v>430</v>
      </c>
      <c r="B7" s="95" t="s">
        <v>251</v>
      </c>
      <c r="C7" s="94" t="s">
        <v>246</v>
      </c>
      <c r="D7" s="94" t="s">
        <v>252</v>
      </c>
      <c r="E7" s="96">
        <v>32536</v>
      </c>
      <c r="F7" s="97">
        <f ca="1">DATEDIF(E7,TODAY(),"Y")</f>
        <v>27</v>
      </c>
      <c r="G7" s="98"/>
      <c r="H7" s="99">
        <v>35680</v>
      </c>
      <c r="I7" s="100">
        <v>2</v>
      </c>
    </row>
    <row r="8" spans="1:9" ht="13.5" x14ac:dyDescent="0.25">
      <c r="A8" s="101"/>
      <c r="B8" s="95"/>
      <c r="C8" s="101"/>
      <c r="D8" s="94"/>
      <c r="E8" s="96"/>
      <c r="F8" s="97"/>
      <c r="G8" s="98"/>
      <c r="H8" s="99"/>
      <c r="I8" s="100"/>
    </row>
    <row r="9" spans="1:9" ht="13.5" x14ac:dyDescent="0.25">
      <c r="A9" s="94" t="s">
        <v>272</v>
      </c>
      <c r="B9" s="95" t="s">
        <v>271</v>
      </c>
      <c r="C9" s="94" t="s">
        <v>272</v>
      </c>
      <c r="D9" s="94" t="s">
        <v>261</v>
      </c>
      <c r="E9" s="96">
        <v>32164</v>
      </c>
      <c r="F9" s="97">
        <f ca="1">DATEDIF(E9,TODAY(),"Y")</f>
        <v>28</v>
      </c>
      <c r="G9" s="98" t="s">
        <v>262</v>
      </c>
      <c r="H9" s="99">
        <v>30445</v>
      </c>
      <c r="I9" s="100">
        <v>1</v>
      </c>
    </row>
    <row r="10" spans="1:9" ht="13.5" x14ac:dyDescent="0.25">
      <c r="A10" s="94" t="s">
        <v>272</v>
      </c>
      <c r="B10" s="95" t="s">
        <v>280</v>
      </c>
      <c r="C10" s="94" t="s">
        <v>272</v>
      </c>
      <c r="D10" s="94" t="s">
        <v>252</v>
      </c>
      <c r="E10" s="96">
        <v>32172</v>
      </c>
      <c r="F10" s="97">
        <f ca="1">DATEDIF(E10,TODAY(),"Y")</f>
        <v>28</v>
      </c>
      <c r="G10" s="98" t="s">
        <v>257</v>
      </c>
      <c r="H10" s="99">
        <v>29070</v>
      </c>
      <c r="I10" s="100">
        <v>3</v>
      </c>
    </row>
    <row r="11" spans="1:9" ht="13.5" x14ac:dyDescent="0.25">
      <c r="A11" s="94" t="s">
        <v>272</v>
      </c>
      <c r="B11" s="95" t="s">
        <v>285</v>
      </c>
      <c r="C11" s="94" t="s">
        <v>272</v>
      </c>
      <c r="D11" s="94" t="s">
        <v>256</v>
      </c>
      <c r="E11" s="96">
        <v>32521</v>
      </c>
      <c r="F11" s="97">
        <f ca="1">DATEDIF(E11,TODAY(),"Y")</f>
        <v>27</v>
      </c>
      <c r="G11" s="98" t="s">
        <v>257</v>
      </c>
      <c r="H11" s="99">
        <v>79760</v>
      </c>
      <c r="I11" s="100">
        <v>5</v>
      </c>
    </row>
    <row r="12" spans="1:9" ht="13.5" x14ac:dyDescent="0.25">
      <c r="A12" s="94" t="s">
        <v>272</v>
      </c>
      <c r="B12" s="95" t="s">
        <v>271</v>
      </c>
      <c r="C12" s="94" t="s">
        <v>272</v>
      </c>
      <c r="D12" s="94" t="s">
        <v>247</v>
      </c>
      <c r="E12" s="96">
        <v>32766</v>
      </c>
      <c r="F12" s="97">
        <f ca="1">DATEDIF(E12,TODAY(),"Y")</f>
        <v>27</v>
      </c>
      <c r="G12" s="98"/>
      <c r="H12" s="99">
        <v>66580</v>
      </c>
      <c r="I12" s="100">
        <v>5</v>
      </c>
    </row>
    <row r="13" spans="1:9" ht="13.5" x14ac:dyDescent="0.25">
      <c r="A13" s="94" t="s">
        <v>272</v>
      </c>
      <c r="B13" s="95" t="s">
        <v>285</v>
      </c>
      <c r="C13" s="94" t="s">
        <v>272</v>
      </c>
      <c r="D13" s="94" t="s">
        <v>256</v>
      </c>
      <c r="E13" s="96">
        <v>34154</v>
      </c>
      <c r="F13" s="97">
        <f ca="1">DATEDIF(E13,TODAY(),"Y")</f>
        <v>23</v>
      </c>
      <c r="G13" s="98" t="s">
        <v>257</v>
      </c>
      <c r="H13" s="99">
        <v>60830</v>
      </c>
      <c r="I13" s="100">
        <v>1</v>
      </c>
    </row>
    <row r="14" spans="1:9" ht="13.5" x14ac:dyDescent="0.25">
      <c r="A14" s="94" t="s">
        <v>272</v>
      </c>
      <c r="B14" s="95" t="s">
        <v>280</v>
      </c>
      <c r="C14" s="94" t="s">
        <v>272</v>
      </c>
      <c r="D14" s="94" t="s">
        <v>256</v>
      </c>
      <c r="E14" s="96">
        <v>34432</v>
      </c>
      <c r="F14" s="97">
        <f ca="1">DATEDIF(E14,TODAY(),"Y")</f>
        <v>22</v>
      </c>
      <c r="G14" s="98" t="s">
        <v>283</v>
      </c>
      <c r="H14" s="99">
        <v>85300</v>
      </c>
      <c r="I14" s="100">
        <v>2</v>
      </c>
    </row>
    <row r="15" spans="1:9" ht="13.5" x14ac:dyDescent="0.25">
      <c r="A15" s="94" t="s">
        <v>272</v>
      </c>
      <c r="B15" s="95" t="s">
        <v>251</v>
      </c>
      <c r="C15" s="94" t="s">
        <v>272</v>
      </c>
      <c r="D15" s="94" t="s">
        <v>256</v>
      </c>
      <c r="E15" s="96">
        <v>34833</v>
      </c>
      <c r="F15" s="97">
        <f ca="1">DATEDIF(E15,TODAY(),"Y")</f>
        <v>21</v>
      </c>
      <c r="G15" s="98" t="s">
        <v>283</v>
      </c>
      <c r="H15" s="99">
        <v>72090</v>
      </c>
      <c r="I15" s="100">
        <v>5</v>
      </c>
    </row>
    <row r="16" spans="1:9" ht="13.5" x14ac:dyDescent="0.25">
      <c r="A16" s="94" t="s">
        <v>272</v>
      </c>
      <c r="B16" s="95" t="s">
        <v>251</v>
      </c>
      <c r="C16" s="94" t="s">
        <v>272</v>
      </c>
      <c r="D16" s="94" t="s">
        <v>261</v>
      </c>
      <c r="E16" s="96">
        <v>34907</v>
      </c>
      <c r="F16" s="97">
        <f ca="1">DATEDIF(E16,TODAY(),"Y")</f>
        <v>21</v>
      </c>
      <c r="G16" s="98" t="s">
        <v>257</v>
      </c>
      <c r="H16" s="99">
        <v>15240</v>
      </c>
      <c r="I16" s="100">
        <v>1</v>
      </c>
    </row>
    <row r="17" spans="1:9" ht="13.5" x14ac:dyDescent="0.25">
      <c r="A17" s="94" t="s">
        <v>272</v>
      </c>
      <c r="B17" s="95" t="s">
        <v>285</v>
      </c>
      <c r="C17" s="94" t="s">
        <v>272</v>
      </c>
      <c r="D17" s="94" t="s">
        <v>256</v>
      </c>
      <c r="E17" s="96">
        <v>34950</v>
      </c>
      <c r="F17" s="97">
        <f ca="1">DATEDIF(E17,TODAY(),"Y")</f>
        <v>21</v>
      </c>
      <c r="G17" s="98" t="s">
        <v>257</v>
      </c>
      <c r="H17" s="99">
        <v>75150</v>
      </c>
      <c r="I17" s="100">
        <v>1</v>
      </c>
    </row>
    <row r="18" spans="1:9" ht="13.5" x14ac:dyDescent="0.25">
      <c r="A18" s="94" t="s">
        <v>272</v>
      </c>
      <c r="B18" s="95" t="s">
        <v>266</v>
      </c>
      <c r="C18" s="94" t="s">
        <v>272</v>
      </c>
      <c r="D18" s="94" t="s">
        <v>256</v>
      </c>
      <c r="E18" s="96">
        <v>35454</v>
      </c>
      <c r="F18" s="97">
        <f ca="1">DATEDIF(E18,TODAY(),"Y")</f>
        <v>19</v>
      </c>
      <c r="G18" s="98" t="s">
        <v>276</v>
      </c>
      <c r="H18" s="99">
        <v>74840</v>
      </c>
      <c r="I18" s="100">
        <v>4</v>
      </c>
    </row>
    <row r="19" spans="1:9" ht="13.5" x14ac:dyDescent="0.25">
      <c r="A19" s="94" t="s">
        <v>272</v>
      </c>
      <c r="B19" s="95" t="s">
        <v>245</v>
      </c>
      <c r="C19" s="94" t="s">
        <v>272</v>
      </c>
      <c r="D19" s="94" t="s">
        <v>247</v>
      </c>
      <c r="E19" s="96">
        <v>35467</v>
      </c>
      <c r="F19" s="97">
        <f ca="1">DATEDIF(E19,TODAY(),"Y")</f>
        <v>19</v>
      </c>
      <c r="G19" s="98"/>
      <c r="H19" s="99">
        <v>76690</v>
      </c>
      <c r="I19" s="100">
        <v>3</v>
      </c>
    </row>
    <row r="20" spans="1:9" ht="13.5" x14ac:dyDescent="0.25">
      <c r="A20" s="94" t="s">
        <v>272</v>
      </c>
      <c r="B20" s="95" t="s">
        <v>251</v>
      </c>
      <c r="C20" s="94" t="s">
        <v>272</v>
      </c>
      <c r="D20" s="94" t="s">
        <v>256</v>
      </c>
      <c r="E20" s="96">
        <v>36094</v>
      </c>
      <c r="F20" s="97">
        <f ca="1">DATEDIF(E20,TODAY(),"Y")</f>
        <v>18</v>
      </c>
      <c r="G20" s="98" t="s">
        <v>257</v>
      </c>
      <c r="H20" s="99">
        <v>30780</v>
      </c>
      <c r="I20" s="100">
        <v>4</v>
      </c>
    </row>
    <row r="21" spans="1:9" ht="13.5" x14ac:dyDescent="0.25">
      <c r="A21" s="94" t="s">
        <v>272</v>
      </c>
      <c r="B21" s="95" t="s">
        <v>271</v>
      </c>
      <c r="C21" s="94" t="s">
        <v>272</v>
      </c>
      <c r="D21" s="94" t="s">
        <v>261</v>
      </c>
      <c r="E21" s="96">
        <v>36472</v>
      </c>
      <c r="F21" s="97">
        <f ca="1">DATEDIF(E21,TODAY(),"Y")</f>
        <v>17</v>
      </c>
      <c r="G21" s="98" t="s">
        <v>276</v>
      </c>
      <c r="H21" s="99">
        <v>17735</v>
      </c>
      <c r="I21" s="100">
        <v>3</v>
      </c>
    </row>
    <row r="22" spans="1:9" ht="13.5" x14ac:dyDescent="0.25">
      <c r="A22" s="94" t="s">
        <v>272</v>
      </c>
      <c r="B22" s="95" t="s">
        <v>271</v>
      </c>
      <c r="C22" s="94" t="s">
        <v>272</v>
      </c>
      <c r="D22" s="94" t="s">
        <v>256</v>
      </c>
      <c r="E22" s="96">
        <v>36832</v>
      </c>
      <c r="F22" s="97">
        <f ca="1">DATEDIF(E22,TODAY(),"Y")</f>
        <v>16</v>
      </c>
      <c r="G22" s="98" t="s">
        <v>257</v>
      </c>
      <c r="H22" s="99">
        <v>49350</v>
      </c>
      <c r="I22" s="100">
        <v>4</v>
      </c>
    </row>
    <row r="23" spans="1:9" ht="13.5" x14ac:dyDescent="0.25">
      <c r="A23" s="94" t="s">
        <v>272</v>
      </c>
      <c r="B23" s="95" t="s">
        <v>266</v>
      </c>
      <c r="C23" s="94" t="s">
        <v>272</v>
      </c>
      <c r="D23" s="94" t="s">
        <v>256</v>
      </c>
      <c r="E23" s="96">
        <v>37759</v>
      </c>
      <c r="F23" s="97">
        <f ca="1">DATEDIF(E23,TODAY(),"Y")</f>
        <v>13</v>
      </c>
      <c r="G23" s="98" t="s">
        <v>267</v>
      </c>
      <c r="H23" s="99">
        <v>37670</v>
      </c>
      <c r="I23" s="100">
        <v>3</v>
      </c>
    </row>
    <row r="24" spans="1:9" ht="13.5" x14ac:dyDescent="0.25">
      <c r="A24" s="94" t="s">
        <v>272</v>
      </c>
      <c r="B24" s="95" t="s">
        <v>245</v>
      </c>
      <c r="C24" s="94" t="s">
        <v>272</v>
      </c>
      <c r="D24" s="94" t="s">
        <v>256</v>
      </c>
      <c r="E24" s="96">
        <v>38394</v>
      </c>
      <c r="F24" s="97">
        <f ca="1">DATEDIF(E24,TODAY(),"Y")</f>
        <v>11</v>
      </c>
      <c r="G24" s="98" t="s">
        <v>276</v>
      </c>
      <c r="H24" s="99">
        <v>58290</v>
      </c>
      <c r="I24" s="100">
        <v>5</v>
      </c>
    </row>
    <row r="25" spans="1:9" ht="13.5" x14ac:dyDescent="0.25">
      <c r="A25" s="94" t="s">
        <v>272</v>
      </c>
      <c r="B25" s="95" t="s">
        <v>245</v>
      </c>
      <c r="C25" s="94" t="s">
        <v>272</v>
      </c>
      <c r="D25" s="94" t="s">
        <v>252</v>
      </c>
      <c r="E25" s="96">
        <v>38816</v>
      </c>
      <c r="F25" s="97">
        <f ca="1">DATEDIF(E25,TODAY(),"Y")</f>
        <v>10</v>
      </c>
      <c r="G25" s="98"/>
      <c r="H25" s="99">
        <v>10636</v>
      </c>
      <c r="I25" s="100">
        <v>4</v>
      </c>
    </row>
    <row r="26" spans="1:9" ht="13.5" x14ac:dyDescent="0.25">
      <c r="A26" s="101"/>
      <c r="B26" s="95"/>
      <c r="C26" s="101"/>
      <c r="D26" s="94"/>
      <c r="E26" s="96"/>
      <c r="F26" s="97"/>
      <c r="G26" s="98"/>
      <c r="H26" s="99"/>
      <c r="I26" s="100"/>
    </row>
    <row r="27" spans="1:9" ht="13.5" x14ac:dyDescent="0.25">
      <c r="A27" s="94" t="s">
        <v>296</v>
      </c>
      <c r="B27" s="95" t="s">
        <v>245</v>
      </c>
      <c r="C27" s="94" t="s">
        <v>296</v>
      </c>
      <c r="D27" s="94" t="s">
        <v>256</v>
      </c>
      <c r="E27" s="96">
        <v>32241</v>
      </c>
      <c r="F27" s="97">
        <f ca="1">DATEDIF(E27,TODAY(),"Y")</f>
        <v>28</v>
      </c>
      <c r="G27" s="98" t="s">
        <v>262</v>
      </c>
      <c r="H27" s="99">
        <v>41350</v>
      </c>
      <c r="I27" s="100">
        <v>2</v>
      </c>
    </row>
    <row r="28" spans="1:9" ht="13.5" x14ac:dyDescent="0.25">
      <c r="A28" s="94" t="s">
        <v>296</v>
      </c>
      <c r="B28" s="95" t="s">
        <v>285</v>
      </c>
      <c r="C28" s="94" t="s">
        <v>296</v>
      </c>
      <c r="D28" s="94" t="s">
        <v>256</v>
      </c>
      <c r="E28" s="96">
        <v>32991</v>
      </c>
      <c r="F28" s="97">
        <f ca="1">DATEDIF(E28,TODAY(),"Y")</f>
        <v>26</v>
      </c>
      <c r="G28" s="98" t="s">
        <v>257</v>
      </c>
      <c r="H28" s="99">
        <v>73440</v>
      </c>
      <c r="I28" s="100">
        <v>1</v>
      </c>
    </row>
    <row r="29" spans="1:9" ht="13.5" x14ac:dyDescent="0.25">
      <c r="A29" s="94" t="s">
        <v>296</v>
      </c>
      <c r="B29" s="95" t="s">
        <v>271</v>
      </c>
      <c r="C29" s="94" t="s">
        <v>296</v>
      </c>
      <c r="D29" s="94" t="s">
        <v>256</v>
      </c>
      <c r="E29" s="96">
        <v>34149</v>
      </c>
      <c r="F29" s="97">
        <f ca="1">DATEDIF(E29,TODAY(),"Y")</f>
        <v>23</v>
      </c>
      <c r="G29" s="98" t="s">
        <v>283</v>
      </c>
      <c r="H29" s="99">
        <v>49360</v>
      </c>
      <c r="I29" s="100">
        <v>2</v>
      </c>
    </row>
    <row r="30" spans="1:9" ht="13.5" x14ac:dyDescent="0.25">
      <c r="A30" s="94" t="s">
        <v>296</v>
      </c>
      <c r="B30" s="95" t="s">
        <v>245</v>
      </c>
      <c r="C30" s="94" t="s">
        <v>296</v>
      </c>
      <c r="D30" s="94" t="s">
        <v>261</v>
      </c>
      <c r="E30" s="96">
        <v>34254</v>
      </c>
      <c r="F30" s="97">
        <f ca="1">DATEDIF(E30,TODAY(),"Y")</f>
        <v>23</v>
      </c>
      <c r="G30" s="98" t="s">
        <v>257</v>
      </c>
      <c r="H30" s="99">
        <v>11025</v>
      </c>
      <c r="I30" s="100">
        <v>1</v>
      </c>
    </row>
    <row r="31" spans="1:9" ht="13.5" x14ac:dyDescent="0.25">
      <c r="A31" s="94" t="s">
        <v>296</v>
      </c>
      <c r="B31" s="95" t="s">
        <v>271</v>
      </c>
      <c r="C31" s="94" t="s">
        <v>296</v>
      </c>
      <c r="D31" s="94" t="s">
        <v>252</v>
      </c>
      <c r="E31" s="96">
        <v>34364</v>
      </c>
      <c r="F31" s="97">
        <f ca="1">DATEDIF(E31,TODAY(),"Y")</f>
        <v>22</v>
      </c>
      <c r="G31" s="98"/>
      <c r="H31" s="99">
        <v>20028</v>
      </c>
      <c r="I31" s="100">
        <v>4</v>
      </c>
    </row>
    <row r="32" spans="1:9" ht="13.5" x14ac:dyDescent="0.25">
      <c r="A32" s="94" t="s">
        <v>296</v>
      </c>
      <c r="B32" s="95" t="s">
        <v>285</v>
      </c>
      <c r="C32" s="94" t="s">
        <v>296</v>
      </c>
      <c r="D32" s="94" t="s">
        <v>256</v>
      </c>
      <c r="E32" s="96">
        <v>34904</v>
      </c>
      <c r="F32" s="97">
        <f ca="1">DATEDIF(E32,TODAY(),"Y")</f>
        <v>21</v>
      </c>
      <c r="G32" s="98" t="s">
        <v>276</v>
      </c>
      <c r="H32" s="99">
        <v>47850</v>
      </c>
      <c r="I32" s="100">
        <v>1</v>
      </c>
    </row>
    <row r="33" spans="1:9" ht="13.5" x14ac:dyDescent="0.25">
      <c r="A33" s="94" t="s">
        <v>296</v>
      </c>
      <c r="B33" s="95" t="s">
        <v>245</v>
      </c>
      <c r="C33" s="94" t="s">
        <v>296</v>
      </c>
      <c r="D33" s="94" t="s">
        <v>256</v>
      </c>
      <c r="E33" s="96">
        <v>35309</v>
      </c>
      <c r="F33" s="97">
        <f ca="1">DATEDIF(E33,TODAY(),"Y")</f>
        <v>20</v>
      </c>
      <c r="G33" s="98" t="s">
        <v>267</v>
      </c>
      <c r="H33" s="99">
        <v>56440</v>
      </c>
      <c r="I33" s="100">
        <v>1</v>
      </c>
    </row>
    <row r="34" spans="1:9" ht="13.5" x14ac:dyDescent="0.25">
      <c r="A34" s="94" t="s">
        <v>296</v>
      </c>
      <c r="B34" s="95" t="s">
        <v>245</v>
      </c>
      <c r="C34" s="94" t="s">
        <v>296</v>
      </c>
      <c r="D34" s="94" t="s">
        <v>256</v>
      </c>
      <c r="E34" s="96">
        <v>35583</v>
      </c>
      <c r="F34" s="97">
        <f ca="1">DATEDIF(E34,TODAY(),"Y")</f>
        <v>19</v>
      </c>
      <c r="G34" s="98" t="s">
        <v>283</v>
      </c>
      <c r="H34" s="99">
        <v>33640</v>
      </c>
      <c r="I34" s="100">
        <v>3</v>
      </c>
    </row>
    <row r="35" spans="1:9" ht="13.5" x14ac:dyDescent="0.25">
      <c r="A35" s="94" t="s">
        <v>296</v>
      </c>
      <c r="B35" s="95" t="s">
        <v>251</v>
      </c>
      <c r="C35" s="94" t="s">
        <v>296</v>
      </c>
      <c r="D35" s="94" t="s">
        <v>256</v>
      </c>
      <c r="E35" s="96">
        <v>36741</v>
      </c>
      <c r="F35" s="97">
        <f ca="1">DATEDIF(E35,TODAY(),"Y")</f>
        <v>16</v>
      </c>
      <c r="G35" s="98" t="s">
        <v>257</v>
      </c>
      <c r="H35" s="99">
        <v>30350</v>
      </c>
      <c r="I35" s="100">
        <v>1</v>
      </c>
    </row>
    <row r="36" spans="1:9" ht="13.5" x14ac:dyDescent="0.25">
      <c r="A36" s="94" t="s">
        <v>296</v>
      </c>
      <c r="B36" s="95" t="s">
        <v>245</v>
      </c>
      <c r="C36" s="94" t="s">
        <v>296</v>
      </c>
      <c r="D36" s="94" t="s">
        <v>256</v>
      </c>
      <c r="E36" s="96">
        <v>38796</v>
      </c>
      <c r="F36" s="97">
        <f ca="1">DATEDIF(E36,TODAY(),"Y")</f>
        <v>10</v>
      </c>
      <c r="G36" s="98" t="s">
        <v>262</v>
      </c>
      <c r="H36" s="99">
        <v>51180</v>
      </c>
      <c r="I36" s="100">
        <v>3</v>
      </c>
    </row>
    <row r="37" spans="1:9" ht="13.5" x14ac:dyDescent="0.25">
      <c r="A37" s="101"/>
      <c r="B37" s="95"/>
      <c r="C37" s="101"/>
      <c r="D37" s="94"/>
      <c r="E37" s="96"/>
      <c r="F37" s="97"/>
      <c r="G37" s="98"/>
      <c r="H37" s="99"/>
      <c r="I37" s="100"/>
    </row>
    <row r="38" spans="1:9" ht="13.5" x14ac:dyDescent="0.25">
      <c r="A38" s="94" t="s">
        <v>307</v>
      </c>
      <c r="B38" s="95" t="s">
        <v>285</v>
      </c>
      <c r="C38" s="94" t="s">
        <v>307</v>
      </c>
      <c r="D38" s="94" t="s">
        <v>256</v>
      </c>
      <c r="E38" s="96">
        <v>32403</v>
      </c>
      <c r="F38" s="97">
        <f ca="1">DATEDIF(E38,TODAY(),"Y")</f>
        <v>28</v>
      </c>
      <c r="G38" s="98" t="s">
        <v>257</v>
      </c>
      <c r="H38" s="99">
        <v>46220</v>
      </c>
      <c r="I38" s="100">
        <v>3</v>
      </c>
    </row>
    <row r="39" spans="1:9" ht="13.5" x14ac:dyDescent="0.25">
      <c r="A39" s="94" t="s">
        <v>307</v>
      </c>
      <c r="B39" s="95" t="s">
        <v>280</v>
      </c>
      <c r="C39" s="94" t="s">
        <v>307</v>
      </c>
      <c r="D39" s="94" t="s">
        <v>247</v>
      </c>
      <c r="E39" s="96">
        <v>34085</v>
      </c>
      <c r="F39" s="97">
        <f ca="1">DATEDIF(E39,TODAY(),"Y")</f>
        <v>23</v>
      </c>
      <c r="G39" s="98"/>
      <c r="H39" s="99">
        <v>58130</v>
      </c>
      <c r="I39" s="100">
        <v>2</v>
      </c>
    </row>
    <row r="40" spans="1:9" ht="13.5" x14ac:dyDescent="0.25">
      <c r="A40" s="94" t="s">
        <v>307</v>
      </c>
      <c r="B40" s="95" t="s">
        <v>285</v>
      </c>
      <c r="C40" s="94" t="s">
        <v>307</v>
      </c>
      <c r="D40" s="94" t="s">
        <v>261</v>
      </c>
      <c r="E40" s="96">
        <v>38107</v>
      </c>
      <c r="F40" s="97">
        <f ca="1">DATEDIF(E40,TODAY(),"Y")</f>
        <v>12</v>
      </c>
      <c r="G40" s="98" t="s">
        <v>267</v>
      </c>
      <c r="H40" s="99">
        <v>46095</v>
      </c>
      <c r="I40" s="100">
        <v>3</v>
      </c>
    </row>
    <row r="41" spans="1:9" ht="13.5" x14ac:dyDescent="0.25">
      <c r="A41" s="94" t="s">
        <v>307</v>
      </c>
      <c r="B41" s="95" t="s">
        <v>271</v>
      </c>
      <c r="C41" s="94" t="s">
        <v>307</v>
      </c>
      <c r="D41" s="94" t="s">
        <v>261</v>
      </c>
      <c r="E41" s="96">
        <v>38842</v>
      </c>
      <c r="F41" s="97">
        <f ca="1">DATEDIF(E41,TODAY(),"Y")</f>
        <v>10</v>
      </c>
      <c r="G41" s="98" t="s">
        <v>283</v>
      </c>
      <c r="H41" s="99">
        <v>28680</v>
      </c>
      <c r="I41" s="100">
        <v>1</v>
      </c>
    </row>
    <row r="42" spans="1:9" ht="13.5" x14ac:dyDescent="0.25">
      <c r="A42" s="101"/>
      <c r="B42" s="95"/>
      <c r="C42" s="101"/>
      <c r="D42" s="94"/>
      <c r="E42" s="96"/>
      <c r="F42" s="97"/>
      <c r="G42" s="98"/>
      <c r="H42" s="99"/>
      <c r="I42" s="100"/>
    </row>
    <row r="43" spans="1:9" ht="13.5" x14ac:dyDescent="0.25">
      <c r="A43" s="94" t="s">
        <v>312</v>
      </c>
      <c r="B43" s="95" t="s">
        <v>271</v>
      </c>
      <c r="C43" s="94" t="s">
        <v>312</v>
      </c>
      <c r="D43" s="94" t="s">
        <v>247</v>
      </c>
      <c r="E43" s="96">
        <v>31918</v>
      </c>
      <c r="F43" s="97">
        <f ca="1">DATEDIF(E43,TODAY(),"Y")</f>
        <v>29</v>
      </c>
      <c r="G43" s="98"/>
      <c r="H43" s="99">
        <v>42940</v>
      </c>
      <c r="I43" s="100">
        <v>1</v>
      </c>
    </row>
    <row r="44" spans="1:9" ht="13.5" x14ac:dyDescent="0.25">
      <c r="A44" s="94" t="s">
        <v>312</v>
      </c>
      <c r="B44" s="95" t="s">
        <v>245</v>
      </c>
      <c r="C44" s="94" t="s">
        <v>312</v>
      </c>
      <c r="D44" s="94" t="s">
        <v>256</v>
      </c>
      <c r="E44" s="96">
        <v>32038</v>
      </c>
      <c r="F44" s="97">
        <f ca="1">DATEDIF(E44,TODAY(),"Y")</f>
        <v>29</v>
      </c>
      <c r="G44" s="98" t="s">
        <v>276</v>
      </c>
      <c r="H44" s="99">
        <v>49810</v>
      </c>
      <c r="I44" s="100">
        <v>2</v>
      </c>
    </row>
    <row r="45" spans="1:9" ht="13.5" x14ac:dyDescent="0.25">
      <c r="A45" s="94" t="s">
        <v>312</v>
      </c>
      <c r="B45" s="95" t="s">
        <v>285</v>
      </c>
      <c r="C45" s="94" t="s">
        <v>312</v>
      </c>
      <c r="D45" s="94" t="s">
        <v>261</v>
      </c>
      <c r="E45" s="96">
        <v>32162</v>
      </c>
      <c r="F45" s="97">
        <f ca="1">DATEDIF(E45,TODAY(),"Y")</f>
        <v>28</v>
      </c>
      <c r="G45" s="98" t="s">
        <v>262</v>
      </c>
      <c r="H45" s="99">
        <v>13800</v>
      </c>
      <c r="I45" s="100">
        <v>3</v>
      </c>
    </row>
    <row r="46" spans="1:9" ht="13.5" x14ac:dyDescent="0.25">
      <c r="A46" s="94" t="s">
        <v>312</v>
      </c>
      <c r="B46" s="95" t="s">
        <v>271</v>
      </c>
      <c r="C46" s="94" t="s">
        <v>312</v>
      </c>
      <c r="D46" s="94" t="s">
        <v>256</v>
      </c>
      <c r="E46" s="96">
        <v>32217</v>
      </c>
      <c r="F46" s="97">
        <f ca="1">DATEDIF(E46,TODAY(),"Y")</f>
        <v>28</v>
      </c>
      <c r="G46" s="98" t="s">
        <v>283</v>
      </c>
      <c r="H46" s="99">
        <v>85920</v>
      </c>
      <c r="I46" s="100">
        <v>4</v>
      </c>
    </row>
    <row r="47" spans="1:9" ht="13.5" x14ac:dyDescent="0.25">
      <c r="A47" s="94" t="s">
        <v>312</v>
      </c>
      <c r="B47" s="95" t="s">
        <v>271</v>
      </c>
      <c r="C47" s="94" t="s">
        <v>312</v>
      </c>
      <c r="D47" s="94" t="s">
        <v>256</v>
      </c>
      <c r="E47" s="96">
        <v>32265</v>
      </c>
      <c r="F47" s="97">
        <f ca="1">DATEDIF(E47,TODAY(),"Y")</f>
        <v>28</v>
      </c>
      <c r="G47" s="98" t="s">
        <v>262</v>
      </c>
      <c r="H47" s="99">
        <v>61400</v>
      </c>
      <c r="I47" s="100">
        <v>5</v>
      </c>
    </row>
    <row r="48" spans="1:9" ht="13.5" x14ac:dyDescent="0.25">
      <c r="A48" s="94" t="s">
        <v>312</v>
      </c>
      <c r="B48" s="95" t="s">
        <v>285</v>
      </c>
      <c r="C48" s="94" t="s">
        <v>312</v>
      </c>
      <c r="D48" s="94" t="s">
        <v>252</v>
      </c>
      <c r="E48" s="96">
        <v>32310</v>
      </c>
      <c r="F48" s="97">
        <f ca="1">DATEDIF(E48,TODAY(),"Y")</f>
        <v>28</v>
      </c>
      <c r="G48" s="98"/>
      <c r="H48" s="99">
        <v>14568</v>
      </c>
      <c r="I48" s="100">
        <v>3</v>
      </c>
    </row>
    <row r="49" spans="1:9" ht="13.5" x14ac:dyDescent="0.25">
      <c r="A49" s="94" t="s">
        <v>312</v>
      </c>
      <c r="B49" s="95" t="s">
        <v>251</v>
      </c>
      <c r="C49" s="94" t="s">
        <v>312</v>
      </c>
      <c r="D49" s="94" t="s">
        <v>247</v>
      </c>
      <c r="E49" s="96">
        <v>32368</v>
      </c>
      <c r="F49" s="97">
        <f ca="1">DATEDIF(E49,TODAY(),"Y")</f>
        <v>28</v>
      </c>
      <c r="G49" s="98"/>
      <c r="H49" s="99">
        <v>64460</v>
      </c>
      <c r="I49" s="100">
        <v>1</v>
      </c>
    </row>
    <row r="50" spans="1:9" ht="13.5" x14ac:dyDescent="0.25">
      <c r="A50" s="94" t="s">
        <v>312</v>
      </c>
      <c r="B50" s="95" t="s">
        <v>285</v>
      </c>
      <c r="C50" s="94" t="s">
        <v>312</v>
      </c>
      <c r="D50" s="94" t="s">
        <v>256</v>
      </c>
      <c r="E50" s="96">
        <v>32436</v>
      </c>
      <c r="F50" s="97">
        <f ca="1">DATEDIF(E50,TODAY(),"Y")</f>
        <v>28</v>
      </c>
      <c r="G50" s="98" t="s">
        <v>262</v>
      </c>
      <c r="H50" s="99">
        <v>31830</v>
      </c>
      <c r="I50" s="100">
        <v>3</v>
      </c>
    </row>
    <row r="51" spans="1:9" ht="13.5" x14ac:dyDescent="0.25">
      <c r="A51" s="94" t="s">
        <v>312</v>
      </c>
      <c r="B51" s="95" t="s">
        <v>245</v>
      </c>
      <c r="C51" s="94" t="s">
        <v>312</v>
      </c>
      <c r="D51" s="94" t="s">
        <v>256</v>
      </c>
      <c r="E51" s="96">
        <v>32476</v>
      </c>
      <c r="F51" s="97">
        <f ca="1">DATEDIF(E51,TODAY(),"Y")</f>
        <v>27</v>
      </c>
      <c r="G51" s="98" t="s">
        <v>257</v>
      </c>
      <c r="H51" s="99">
        <v>71150</v>
      </c>
      <c r="I51" s="100">
        <v>2</v>
      </c>
    </row>
    <row r="52" spans="1:9" ht="13.5" x14ac:dyDescent="0.25">
      <c r="A52" s="94" t="s">
        <v>312</v>
      </c>
      <c r="B52" s="95" t="s">
        <v>285</v>
      </c>
      <c r="C52" s="94" t="s">
        <v>312</v>
      </c>
      <c r="D52" s="94" t="s">
        <v>256</v>
      </c>
      <c r="E52" s="96">
        <v>32585</v>
      </c>
      <c r="F52" s="97">
        <f ca="1">DATEDIF(E52,TODAY(),"Y")</f>
        <v>27</v>
      </c>
      <c r="G52" s="98" t="s">
        <v>283</v>
      </c>
      <c r="H52" s="99">
        <v>71670</v>
      </c>
      <c r="I52" s="100">
        <v>4</v>
      </c>
    </row>
    <row r="53" spans="1:9" ht="13.5" x14ac:dyDescent="0.25">
      <c r="A53" s="94" t="s">
        <v>312</v>
      </c>
      <c r="B53" s="95" t="s">
        <v>245</v>
      </c>
      <c r="C53" s="94" t="s">
        <v>312</v>
      </c>
      <c r="D53" s="94" t="s">
        <v>247</v>
      </c>
      <c r="E53" s="96">
        <v>32671</v>
      </c>
      <c r="F53" s="97">
        <f ca="1">DATEDIF(E53,TODAY(),"Y")</f>
        <v>27</v>
      </c>
      <c r="G53" s="98"/>
      <c r="H53" s="99">
        <v>83020</v>
      </c>
      <c r="I53" s="100">
        <v>4</v>
      </c>
    </row>
    <row r="54" spans="1:9" ht="13.5" x14ac:dyDescent="0.25">
      <c r="A54" s="94" t="s">
        <v>312</v>
      </c>
      <c r="B54" s="95" t="s">
        <v>271</v>
      </c>
      <c r="C54" s="94" t="s">
        <v>312</v>
      </c>
      <c r="D54" s="94" t="s">
        <v>261</v>
      </c>
      <c r="E54" s="96">
        <v>32856</v>
      </c>
      <c r="F54" s="97">
        <f ca="1">DATEDIF(E54,TODAY(),"Y")</f>
        <v>26</v>
      </c>
      <c r="G54" s="98" t="s">
        <v>257</v>
      </c>
      <c r="H54" s="99">
        <v>26890</v>
      </c>
      <c r="I54" s="100">
        <v>3</v>
      </c>
    </row>
    <row r="55" spans="1:9" ht="13.5" x14ac:dyDescent="0.25">
      <c r="A55" s="94" t="s">
        <v>312</v>
      </c>
      <c r="B55" s="95" t="s">
        <v>285</v>
      </c>
      <c r="C55" s="94" t="s">
        <v>312</v>
      </c>
      <c r="D55" s="94" t="s">
        <v>256</v>
      </c>
      <c r="E55" s="96">
        <v>33164</v>
      </c>
      <c r="F55" s="97">
        <f ca="1">DATEDIF(E55,TODAY(),"Y")</f>
        <v>26</v>
      </c>
      <c r="G55" s="98" t="s">
        <v>262</v>
      </c>
      <c r="H55" s="99">
        <v>74670</v>
      </c>
      <c r="I55" s="100">
        <v>5</v>
      </c>
    </row>
    <row r="56" spans="1:9" ht="13.5" x14ac:dyDescent="0.25">
      <c r="A56" s="94" t="s">
        <v>312</v>
      </c>
      <c r="B56" s="95" t="s">
        <v>285</v>
      </c>
      <c r="C56" s="94" t="s">
        <v>312</v>
      </c>
      <c r="D56" s="94" t="s">
        <v>261</v>
      </c>
      <c r="E56" s="96">
        <v>33238</v>
      </c>
      <c r="F56" s="97">
        <f ca="1">DATEDIF(E56,TODAY(),"Y")</f>
        <v>25</v>
      </c>
      <c r="G56" s="98" t="s">
        <v>276</v>
      </c>
      <c r="H56" s="99">
        <v>38920</v>
      </c>
      <c r="I56" s="100">
        <v>4</v>
      </c>
    </row>
    <row r="57" spans="1:9" ht="13.5" x14ac:dyDescent="0.25">
      <c r="A57" s="94" t="s">
        <v>312</v>
      </c>
      <c r="B57" s="95" t="s">
        <v>285</v>
      </c>
      <c r="C57" s="94" t="s">
        <v>312</v>
      </c>
      <c r="D57" s="94" t="s">
        <v>247</v>
      </c>
      <c r="E57" s="96">
        <v>33341</v>
      </c>
      <c r="F57" s="97">
        <f ca="1">DATEDIF(E57,TODAY(),"Y")</f>
        <v>25</v>
      </c>
      <c r="G57" s="98"/>
      <c r="H57" s="99">
        <v>46670</v>
      </c>
      <c r="I57" s="100">
        <v>3</v>
      </c>
    </row>
    <row r="58" spans="1:9" ht="13.5" x14ac:dyDescent="0.25">
      <c r="A58" s="94" t="s">
        <v>312</v>
      </c>
      <c r="B58" s="95" t="s">
        <v>271</v>
      </c>
      <c r="C58" s="94" t="s">
        <v>312</v>
      </c>
      <c r="D58" s="94" t="s">
        <v>256</v>
      </c>
      <c r="E58" s="96">
        <v>33522</v>
      </c>
      <c r="F58" s="97">
        <f ca="1">DATEDIF(E58,TODAY(),"Y")</f>
        <v>25</v>
      </c>
      <c r="G58" s="98" t="s">
        <v>257</v>
      </c>
      <c r="H58" s="99">
        <v>31910</v>
      </c>
      <c r="I58" s="100">
        <v>5</v>
      </c>
    </row>
    <row r="59" spans="1:9" ht="13.5" x14ac:dyDescent="0.25">
      <c r="A59" s="94" t="s">
        <v>312</v>
      </c>
      <c r="B59" s="95" t="s">
        <v>266</v>
      </c>
      <c r="C59" s="94" t="s">
        <v>312</v>
      </c>
      <c r="D59" s="94" t="s">
        <v>256</v>
      </c>
      <c r="E59" s="96">
        <v>33686</v>
      </c>
      <c r="F59" s="97">
        <f ca="1">DATEDIF(E59,TODAY(),"Y")</f>
        <v>24</v>
      </c>
      <c r="G59" s="98" t="s">
        <v>257</v>
      </c>
      <c r="H59" s="99">
        <v>67890</v>
      </c>
      <c r="I59" s="100">
        <v>5</v>
      </c>
    </row>
    <row r="60" spans="1:9" ht="13.5" x14ac:dyDescent="0.25">
      <c r="A60" s="94" t="s">
        <v>312</v>
      </c>
      <c r="B60" s="95" t="s">
        <v>271</v>
      </c>
      <c r="C60" s="94" t="s">
        <v>312</v>
      </c>
      <c r="D60" s="94" t="s">
        <v>256</v>
      </c>
      <c r="E60" s="96">
        <v>33776</v>
      </c>
      <c r="F60" s="97">
        <f ca="1">DATEDIF(E60,TODAY(),"Y")</f>
        <v>24</v>
      </c>
      <c r="G60" s="98" t="s">
        <v>267</v>
      </c>
      <c r="H60" s="99">
        <v>77350</v>
      </c>
      <c r="I60" s="100">
        <v>5</v>
      </c>
    </row>
    <row r="61" spans="1:9" ht="13.5" x14ac:dyDescent="0.25">
      <c r="A61" s="94" t="s">
        <v>312</v>
      </c>
      <c r="B61" s="95" t="s">
        <v>280</v>
      </c>
      <c r="C61" s="94" t="s">
        <v>312</v>
      </c>
      <c r="D61" s="94" t="s">
        <v>247</v>
      </c>
      <c r="E61" s="96">
        <v>33809</v>
      </c>
      <c r="F61" s="97">
        <f ca="1">DATEDIF(E61,TODAY(),"Y")</f>
        <v>24</v>
      </c>
      <c r="G61" s="98"/>
      <c r="H61" s="99">
        <v>64390</v>
      </c>
      <c r="I61" s="100">
        <v>2</v>
      </c>
    </row>
    <row r="62" spans="1:9" ht="13.5" x14ac:dyDescent="0.25">
      <c r="A62" s="94" t="s">
        <v>312</v>
      </c>
      <c r="B62" s="95" t="s">
        <v>245</v>
      </c>
      <c r="C62" s="94" t="s">
        <v>312</v>
      </c>
      <c r="D62" s="94" t="s">
        <v>247</v>
      </c>
      <c r="E62" s="96">
        <v>33850</v>
      </c>
      <c r="F62" s="97">
        <f ca="1">DATEDIF(E62,TODAY(),"Y")</f>
        <v>24</v>
      </c>
      <c r="G62" s="98"/>
      <c r="H62" s="99">
        <v>50550</v>
      </c>
      <c r="I62" s="100">
        <v>2</v>
      </c>
    </row>
    <row r="63" spans="1:9" ht="13.5" x14ac:dyDescent="0.25">
      <c r="A63" s="94" t="s">
        <v>312</v>
      </c>
      <c r="B63" s="95" t="s">
        <v>251</v>
      </c>
      <c r="C63" s="94" t="s">
        <v>312</v>
      </c>
      <c r="D63" s="94" t="s">
        <v>256</v>
      </c>
      <c r="E63" s="96">
        <v>33887</v>
      </c>
      <c r="F63" s="97">
        <f ca="1">DATEDIF(E63,TODAY(),"Y")</f>
        <v>24</v>
      </c>
      <c r="G63" s="98" t="s">
        <v>276</v>
      </c>
      <c r="H63" s="99">
        <v>82120</v>
      </c>
      <c r="I63" s="100">
        <v>5</v>
      </c>
    </row>
    <row r="64" spans="1:9" ht="13.5" x14ac:dyDescent="0.25">
      <c r="A64" s="94" t="s">
        <v>312</v>
      </c>
      <c r="B64" s="95" t="s">
        <v>285</v>
      </c>
      <c r="C64" s="94" t="s">
        <v>312</v>
      </c>
      <c r="D64" s="94" t="s">
        <v>256</v>
      </c>
      <c r="E64" s="96">
        <v>33897</v>
      </c>
      <c r="F64" s="97">
        <f ca="1">DATEDIF(E64,TODAY(),"Y")</f>
        <v>24</v>
      </c>
      <c r="G64" s="98" t="s">
        <v>267</v>
      </c>
      <c r="H64" s="99">
        <v>77580</v>
      </c>
      <c r="I64" s="100">
        <v>3</v>
      </c>
    </row>
    <row r="65" spans="1:9" ht="13.5" x14ac:dyDescent="0.25">
      <c r="A65" s="94" t="s">
        <v>312</v>
      </c>
      <c r="B65" s="95" t="s">
        <v>285</v>
      </c>
      <c r="C65" s="94" t="s">
        <v>312</v>
      </c>
      <c r="D65" s="94" t="s">
        <v>247</v>
      </c>
      <c r="E65" s="96">
        <v>33945</v>
      </c>
      <c r="F65" s="97">
        <f ca="1">DATEDIF(E65,TODAY(),"Y")</f>
        <v>23</v>
      </c>
      <c r="G65" s="98"/>
      <c r="H65" s="99">
        <v>89310</v>
      </c>
      <c r="I65" s="100">
        <v>5</v>
      </c>
    </row>
    <row r="66" spans="1:9" ht="13.5" x14ac:dyDescent="0.25">
      <c r="A66" s="94" t="s">
        <v>312</v>
      </c>
      <c r="B66" s="95" t="s">
        <v>271</v>
      </c>
      <c r="C66" s="94" t="s">
        <v>312</v>
      </c>
      <c r="D66" s="94" t="s">
        <v>247</v>
      </c>
      <c r="E66" s="96">
        <v>34195</v>
      </c>
      <c r="F66" s="97">
        <f ca="1">DATEDIF(E66,TODAY(),"Y")</f>
        <v>23</v>
      </c>
      <c r="G66" s="98"/>
      <c r="H66" s="99">
        <v>74740</v>
      </c>
      <c r="I66" s="100">
        <v>5</v>
      </c>
    </row>
    <row r="67" spans="1:9" ht="13.5" x14ac:dyDescent="0.25">
      <c r="A67" s="94" t="s">
        <v>312</v>
      </c>
      <c r="B67" s="95" t="s">
        <v>245</v>
      </c>
      <c r="C67" s="94" t="s">
        <v>312</v>
      </c>
      <c r="D67" s="94" t="s">
        <v>261</v>
      </c>
      <c r="E67" s="96">
        <v>34207</v>
      </c>
      <c r="F67" s="97">
        <f ca="1">DATEDIF(E67,TODAY(),"Y")</f>
        <v>23</v>
      </c>
      <c r="G67" s="98" t="s">
        <v>267</v>
      </c>
      <c r="H67" s="99">
        <v>48415</v>
      </c>
      <c r="I67" s="100">
        <v>4</v>
      </c>
    </row>
    <row r="68" spans="1:9" ht="13.5" x14ac:dyDescent="0.25">
      <c r="A68" s="94" t="s">
        <v>312</v>
      </c>
      <c r="B68" s="95" t="s">
        <v>285</v>
      </c>
      <c r="C68" s="94" t="s">
        <v>312</v>
      </c>
      <c r="D68" s="94" t="s">
        <v>247</v>
      </c>
      <c r="E68" s="96">
        <v>34259</v>
      </c>
      <c r="F68" s="97">
        <f ca="1">DATEDIF(E68,TODAY(),"Y")</f>
        <v>23</v>
      </c>
      <c r="G68" s="98"/>
      <c r="H68" s="99">
        <v>84200</v>
      </c>
      <c r="I68" s="100">
        <v>2</v>
      </c>
    </row>
    <row r="69" spans="1:9" ht="13.5" x14ac:dyDescent="0.25">
      <c r="A69" s="94" t="s">
        <v>312</v>
      </c>
      <c r="B69" s="95" t="s">
        <v>245</v>
      </c>
      <c r="C69" s="94" t="s">
        <v>312</v>
      </c>
      <c r="D69" s="94" t="s">
        <v>256</v>
      </c>
      <c r="E69" s="96">
        <v>34357</v>
      </c>
      <c r="F69" s="97">
        <f ca="1">DATEDIF(E69,TODAY(),"Y")</f>
        <v>22</v>
      </c>
      <c r="G69" s="98" t="s">
        <v>257</v>
      </c>
      <c r="H69" s="99">
        <v>40920</v>
      </c>
      <c r="I69" s="100">
        <v>4</v>
      </c>
    </row>
    <row r="70" spans="1:9" ht="13.5" x14ac:dyDescent="0.25">
      <c r="A70" s="94" t="s">
        <v>312</v>
      </c>
      <c r="B70" s="95" t="s">
        <v>285</v>
      </c>
      <c r="C70" s="94" t="s">
        <v>312</v>
      </c>
      <c r="D70" s="94" t="s">
        <v>256</v>
      </c>
      <c r="E70" s="96">
        <v>34519</v>
      </c>
      <c r="F70" s="97">
        <f ca="1">DATEDIF(E70,TODAY(),"Y")</f>
        <v>22</v>
      </c>
      <c r="G70" s="98" t="s">
        <v>257</v>
      </c>
      <c r="H70" s="99">
        <v>61030</v>
      </c>
      <c r="I70" s="100">
        <v>3</v>
      </c>
    </row>
    <row r="71" spans="1:9" ht="13.5" x14ac:dyDescent="0.25">
      <c r="A71" s="94" t="s">
        <v>312</v>
      </c>
      <c r="B71" s="95" t="s">
        <v>271</v>
      </c>
      <c r="C71" s="94" t="s">
        <v>312</v>
      </c>
      <c r="D71" s="94" t="s">
        <v>261</v>
      </c>
      <c r="E71" s="96">
        <v>34532</v>
      </c>
      <c r="F71" s="97">
        <f ca="1">DATEDIF(E71,TODAY(),"Y")</f>
        <v>22</v>
      </c>
      <c r="G71" s="98" t="s">
        <v>276</v>
      </c>
      <c r="H71" s="99">
        <v>23380</v>
      </c>
      <c r="I71" s="100">
        <v>4</v>
      </c>
    </row>
    <row r="72" spans="1:9" ht="13.5" x14ac:dyDescent="0.25">
      <c r="A72" s="94" t="s">
        <v>312</v>
      </c>
      <c r="B72" s="95" t="s">
        <v>271</v>
      </c>
      <c r="C72" s="94" t="s">
        <v>312</v>
      </c>
      <c r="D72" s="94" t="s">
        <v>247</v>
      </c>
      <c r="E72" s="96">
        <v>34538</v>
      </c>
      <c r="F72" s="97">
        <f ca="1">DATEDIF(E72,TODAY(),"Y")</f>
        <v>22</v>
      </c>
      <c r="G72" s="98"/>
      <c r="H72" s="99">
        <v>85480</v>
      </c>
      <c r="I72" s="100">
        <v>5</v>
      </c>
    </row>
    <row r="73" spans="1:9" ht="13.5" x14ac:dyDescent="0.25">
      <c r="A73" s="94" t="s">
        <v>312</v>
      </c>
      <c r="B73" s="95" t="s">
        <v>271</v>
      </c>
      <c r="C73" s="94" t="s">
        <v>312</v>
      </c>
      <c r="D73" s="94" t="s">
        <v>247</v>
      </c>
      <c r="E73" s="96">
        <v>34538</v>
      </c>
      <c r="F73" s="97">
        <f ca="1">DATEDIF(E73,TODAY(),"Y")</f>
        <v>22</v>
      </c>
      <c r="G73" s="98"/>
      <c r="H73" s="99">
        <v>85480</v>
      </c>
      <c r="I73" s="100">
        <v>5</v>
      </c>
    </row>
    <row r="74" spans="1:9" ht="13.5" x14ac:dyDescent="0.25">
      <c r="A74" s="94" t="s">
        <v>312</v>
      </c>
      <c r="B74" s="95" t="s">
        <v>271</v>
      </c>
      <c r="C74" s="94" t="s">
        <v>312</v>
      </c>
      <c r="D74" s="94" t="s">
        <v>247</v>
      </c>
      <c r="E74" s="96">
        <v>34592</v>
      </c>
      <c r="F74" s="97">
        <f ca="1">DATEDIF(E74,TODAY(),"Y")</f>
        <v>22</v>
      </c>
      <c r="G74" s="98"/>
      <c r="H74" s="99">
        <v>63340</v>
      </c>
      <c r="I74" s="100">
        <v>3</v>
      </c>
    </row>
    <row r="75" spans="1:9" ht="13.5" x14ac:dyDescent="0.25">
      <c r="A75" s="94" t="s">
        <v>312</v>
      </c>
      <c r="B75" s="95" t="s">
        <v>266</v>
      </c>
      <c r="C75" s="94" t="s">
        <v>312</v>
      </c>
      <c r="D75" s="94" t="s">
        <v>247</v>
      </c>
      <c r="E75" s="96">
        <v>34630</v>
      </c>
      <c r="F75" s="97">
        <f ca="1">DATEDIF(E75,TODAY(),"Y")</f>
        <v>22</v>
      </c>
      <c r="G75" s="98"/>
      <c r="H75" s="99">
        <v>88000</v>
      </c>
      <c r="I75" s="100">
        <v>5</v>
      </c>
    </row>
    <row r="76" spans="1:9" ht="13.5" x14ac:dyDescent="0.25">
      <c r="A76" s="94" t="s">
        <v>312</v>
      </c>
      <c r="B76" s="95" t="s">
        <v>245</v>
      </c>
      <c r="C76" s="94" t="s">
        <v>312</v>
      </c>
      <c r="D76" s="94" t="s">
        <v>256</v>
      </c>
      <c r="E76" s="96">
        <v>34655</v>
      </c>
      <c r="F76" s="97">
        <f ca="1">DATEDIF(E76,TODAY(),"Y")</f>
        <v>21</v>
      </c>
      <c r="G76" s="98" t="s">
        <v>267</v>
      </c>
      <c r="H76" s="99">
        <v>34780</v>
      </c>
      <c r="I76" s="100">
        <v>4</v>
      </c>
    </row>
    <row r="77" spans="1:9" ht="13.5" x14ac:dyDescent="0.25">
      <c r="A77" s="94" t="s">
        <v>312</v>
      </c>
      <c r="B77" s="95" t="s">
        <v>280</v>
      </c>
      <c r="C77" s="94" t="s">
        <v>312</v>
      </c>
      <c r="D77" s="94" t="s">
        <v>247</v>
      </c>
      <c r="E77" s="96">
        <v>34728</v>
      </c>
      <c r="F77" s="97">
        <f ca="1">DATEDIF(E77,TODAY(),"Y")</f>
        <v>21</v>
      </c>
      <c r="G77" s="98"/>
      <c r="H77" s="99">
        <v>30340</v>
      </c>
      <c r="I77" s="100">
        <v>3</v>
      </c>
    </row>
    <row r="78" spans="1:9" ht="13.5" x14ac:dyDescent="0.25">
      <c r="A78" s="94" t="s">
        <v>312</v>
      </c>
      <c r="B78" s="95" t="s">
        <v>245</v>
      </c>
      <c r="C78" s="94" t="s">
        <v>312</v>
      </c>
      <c r="D78" s="94" t="s">
        <v>252</v>
      </c>
      <c r="E78" s="96">
        <v>34749</v>
      </c>
      <c r="F78" s="97">
        <f ca="1">DATEDIF(E78,TODAY(),"Y")</f>
        <v>21</v>
      </c>
      <c r="G78" s="98"/>
      <c r="H78" s="99">
        <v>18500</v>
      </c>
      <c r="I78" s="100">
        <v>5</v>
      </c>
    </row>
    <row r="79" spans="1:9" ht="13.5" x14ac:dyDescent="0.25">
      <c r="A79" s="94" t="s">
        <v>312</v>
      </c>
      <c r="B79" s="95" t="s">
        <v>245</v>
      </c>
      <c r="C79" s="94" t="s">
        <v>312</v>
      </c>
      <c r="D79" s="94" t="s">
        <v>247</v>
      </c>
      <c r="E79" s="96">
        <v>34777</v>
      </c>
      <c r="F79" s="97">
        <f ca="1">DATEDIF(E79,TODAY(),"Y")</f>
        <v>21</v>
      </c>
      <c r="G79" s="98"/>
      <c r="H79" s="99">
        <v>76930</v>
      </c>
      <c r="I79" s="100">
        <v>1</v>
      </c>
    </row>
    <row r="80" spans="1:9" ht="13.5" x14ac:dyDescent="0.25">
      <c r="A80" s="94" t="s">
        <v>312</v>
      </c>
      <c r="B80" s="95" t="s">
        <v>245</v>
      </c>
      <c r="C80" s="94" t="s">
        <v>312</v>
      </c>
      <c r="D80" s="94" t="s">
        <v>247</v>
      </c>
      <c r="E80" s="96">
        <v>35160</v>
      </c>
      <c r="F80" s="97">
        <f ca="1">DATEDIF(E80,TODAY(),"Y")</f>
        <v>20</v>
      </c>
      <c r="G80" s="98"/>
      <c r="H80" s="99">
        <v>23560</v>
      </c>
      <c r="I80" s="100">
        <v>3</v>
      </c>
    </row>
    <row r="81" spans="1:9" ht="13.5" x14ac:dyDescent="0.25">
      <c r="A81" s="94" t="s">
        <v>312</v>
      </c>
      <c r="B81" s="95" t="s">
        <v>245</v>
      </c>
      <c r="C81" s="94" t="s">
        <v>312</v>
      </c>
      <c r="D81" s="94" t="s">
        <v>252</v>
      </c>
      <c r="E81" s="96">
        <v>35177</v>
      </c>
      <c r="F81" s="97">
        <f ca="1">DATEDIF(E81,TODAY(),"Y")</f>
        <v>20</v>
      </c>
      <c r="G81" s="98"/>
      <c r="H81" s="99">
        <v>33056</v>
      </c>
      <c r="I81" s="100">
        <v>5</v>
      </c>
    </row>
    <row r="82" spans="1:9" ht="13.5" x14ac:dyDescent="0.25">
      <c r="A82" s="94" t="s">
        <v>312</v>
      </c>
      <c r="B82" s="95" t="s">
        <v>285</v>
      </c>
      <c r="C82" s="94" t="s">
        <v>312</v>
      </c>
      <c r="D82" s="94" t="s">
        <v>256</v>
      </c>
      <c r="E82" s="96">
        <v>35196</v>
      </c>
      <c r="F82" s="97">
        <f ca="1">DATEDIF(E82,TODAY(),"Y")</f>
        <v>20</v>
      </c>
      <c r="G82" s="98" t="s">
        <v>283</v>
      </c>
      <c r="H82" s="99">
        <v>32100</v>
      </c>
      <c r="I82" s="100">
        <v>1</v>
      </c>
    </row>
    <row r="83" spans="1:9" ht="13.5" x14ac:dyDescent="0.25">
      <c r="A83" s="94" t="s">
        <v>312</v>
      </c>
      <c r="B83" s="95" t="s">
        <v>285</v>
      </c>
      <c r="C83" s="94" t="s">
        <v>312</v>
      </c>
      <c r="D83" s="94" t="s">
        <v>252</v>
      </c>
      <c r="E83" s="96">
        <v>35292</v>
      </c>
      <c r="F83" s="97">
        <f ca="1">DATEDIF(E83,TODAY(),"Y")</f>
        <v>20</v>
      </c>
      <c r="G83" s="98"/>
      <c r="H83" s="99">
        <v>30080</v>
      </c>
      <c r="I83" s="100">
        <v>3</v>
      </c>
    </row>
    <row r="84" spans="1:9" ht="13.5" x14ac:dyDescent="0.25">
      <c r="A84" s="94" t="s">
        <v>312</v>
      </c>
      <c r="B84" s="95" t="s">
        <v>266</v>
      </c>
      <c r="C84" s="94" t="s">
        <v>312</v>
      </c>
      <c r="D84" s="94" t="s">
        <v>261</v>
      </c>
      <c r="E84" s="96">
        <v>35586</v>
      </c>
      <c r="F84" s="97">
        <f ca="1">DATEDIF(E84,TODAY(),"Y")</f>
        <v>19</v>
      </c>
      <c r="G84" s="98" t="s">
        <v>257</v>
      </c>
      <c r="H84" s="99">
        <v>35280</v>
      </c>
      <c r="I84" s="100">
        <v>3</v>
      </c>
    </row>
    <row r="85" spans="1:9" ht="13.5" x14ac:dyDescent="0.25">
      <c r="A85" s="94" t="s">
        <v>312</v>
      </c>
      <c r="B85" s="95" t="s">
        <v>285</v>
      </c>
      <c r="C85" s="94" t="s">
        <v>312</v>
      </c>
      <c r="D85" s="94" t="s">
        <v>256</v>
      </c>
      <c r="E85" s="96">
        <v>35698</v>
      </c>
      <c r="F85" s="97">
        <f ca="1">DATEDIF(E85,TODAY(),"Y")</f>
        <v>19</v>
      </c>
      <c r="G85" s="98" t="s">
        <v>257</v>
      </c>
      <c r="H85" s="99">
        <v>27180</v>
      </c>
      <c r="I85" s="100">
        <v>4</v>
      </c>
    </row>
    <row r="86" spans="1:9" ht="13.5" x14ac:dyDescent="0.25">
      <c r="A86" s="94" t="s">
        <v>312</v>
      </c>
      <c r="B86" s="95" t="s">
        <v>285</v>
      </c>
      <c r="C86" s="94" t="s">
        <v>312</v>
      </c>
      <c r="D86" s="94" t="s">
        <v>256</v>
      </c>
      <c r="E86" s="96">
        <v>35708</v>
      </c>
      <c r="F86" s="97">
        <f ca="1">DATEDIF(E86,TODAY(),"Y")</f>
        <v>19</v>
      </c>
      <c r="G86" s="98" t="s">
        <v>283</v>
      </c>
      <c r="H86" s="99">
        <v>28650</v>
      </c>
      <c r="I86" s="100">
        <v>4</v>
      </c>
    </row>
    <row r="87" spans="1:9" ht="13.5" x14ac:dyDescent="0.25">
      <c r="A87" s="94" t="s">
        <v>312</v>
      </c>
      <c r="B87" s="95" t="s">
        <v>271</v>
      </c>
      <c r="C87" s="94" t="s">
        <v>312</v>
      </c>
      <c r="D87" s="94" t="s">
        <v>256</v>
      </c>
      <c r="E87" s="96">
        <v>35866</v>
      </c>
      <c r="F87" s="97">
        <f ca="1">DATEDIF(E87,TODAY(),"Y")</f>
        <v>18</v>
      </c>
      <c r="G87" s="98" t="s">
        <v>267</v>
      </c>
      <c r="H87" s="99">
        <v>62790</v>
      </c>
      <c r="I87" s="100">
        <v>2</v>
      </c>
    </row>
    <row r="88" spans="1:9" ht="13.5" x14ac:dyDescent="0.25">
      <c r="A88" s="94" t="s">
        <v>312</v>
      </c>
      <c r="B88" s="95" t="s">
        <v>271</v>
      </c>
      <c r="C88" s="94" t="s">
        <v>312</v>
      </c>
      <c r="D88" s="94" t="s">
        <v>256</v>
      </c>
      <c r="E88" s="96">
        <v>35931</v>
      </c>
      <c r="F88" s="97">
        <f ca="1">DATEDIF(E88,TODAY(),"Y")</f>
        <v>18</v>
      </c>
      <c r="G88" s="98" t="s">
        <v>257</v>
      </c>
      <c r="H88" s="99">
        <v>71950</v>
      </c>
      <c r="I88" s="100">
        <v>5</v>
      </c>
    </row>
    <row r="89" spans="1:9" ht="13.5" x14ac:dyDescent="0.25">
      <c r="A89" s="94" t="s">
        <v>312</v>
      </c>
      <c r="B89" s="95" t="s">
        <v>285</v>
      </c>
      <c r="C89" s="94" t="s">
        <v>312</v>
      </c>
      <c r="D89" s="94" t="s">
        <v>256</v>
      </c>
      <c r="E89" s="96">
        <v>36038</v>
      </c>
      <c r="F89" s="97">
        <f ca="1">DATEDIF(E89,TODAY(),"Y")</f>
        <v>18</v>
      </c>
      <c r="G89" s="98" t="s">
        <v>262</v>
      </c>
      <c r="H89" s="99">
        <v>85880</v>
      </c>
      <c r="I89" s="100">
        <v>3</v>
      </c>
    </row>
    <row r="90" spans="1:9" ht="13.5" x14ac:dyDescent="0.25">
      <c r="A90" s="94" t="s">
        <v>312</v>
      </c>
      <c r="B90" s="95" t="s">
        <v>285</v>
      </c>
      <c r="C90" s="94" t="s">
        <v>312</v>
      </c>
      <c r="D90" s="94" t="s">
        <v>256</v>
      </c>
      <c r="E90" s="96">
        <v>36475</v>
      </c>
      <c r="F90" s="97">
        <f ca="1">DATEDIF(E90,TODAY(),"Y")</f>
        <v>16</v>
      </c>
      <c r="G90" s="98" t="s">
        <v>283</v>
      </c>
      <c r="H90" s="99">
        <v>87280</v>
      </c>
      <c r="I90" s="100">
        <v>4</v>
      </c>
    </row>
    <row r="91" spans="1:9" ht="13.5" x14ac:dyDescent="0.25">
      <c r="A91" s="94" t="s">
        <v>312</v>
      </c>
      <c r="B91" s="95" t="s">
        <v>245</v>
      </c>
      <c r="C91" s="94" t="s">
        <v>312</v>
      </c>
      <c r="D91" s="94" t="s">
        <v>256</v>
      </c>
      <c r="E91" s="96">
        <v>36650</v>
      </c>
      <c r="F91" s="97">
        <f ca="1">DATEDIF(E91,TODAY(),"Y")</f>
        <v>16</v>
      </c>
      <c r="G91" s="98" t="s">
        <v>257</v>
      </c>
      <c r="H91" s="99">
        <v>66890</v>
      </c>
      <c r="I91" s="100">
        <v>5</v>
      </c>
    </row>
    <row r="92" spans="1:9" ht="13.5" x14ac:dyDescent="0.25">
      <c r="A92" s="94" t="s">
        <v>312</v>
      </c>
      <c r="B92" s="95" t="s">
        <v>245</v>
      </c>
      <c r="C92" s="94" t="s">
        <v>312</v>
      </c>
      <c r="D92" s="94" t="s">
        <v>247</v>
      </c>
      <c r="E92" s="96">
        <v>37660</v>
      </c>
      <c r="F92" s="97">
        <f ca="1">DATEDIF(E92,TODAY(),"Y")</f>
        <v>13</v>
      </c>
      <c r="G92" s="98"/>
      <c r="H92" s="99">
        <v>83070</v>
      </c>
      <c r="I92" s="100">
        <v>3</v>
      </c>
    </row>
    <row r="93" spans="1:9" ht="13.5" x14ac:dyDescent="0.25">
      <c r="A93" s="94" t="s">
        <v>312</v>
      </c>
      <c r="B93" s="95" t="s">
        <v>245</v>
      </c>
      <c r="C93" s="94" t="s">
        <v>312</v>
      </c>
      <c r="D93" s="94" t="s">
        <v>247</v>
      </c>
      <c r="E93" s="96">
        <v>37730</v>
      </c>
      <c r="F93" s="97">
        <f ca="1">DATEDIF(E93,TODAY(),"Y")</f>
        <v>13</v>
      </c>
      <c r="G93" s="98"/>
      <c r="H93" s="99">
        <v>62150</v>
      </c>
      <c r="I93" s="100">
        <v>4</v>
      </c>
    </row>
    <row r="94" spans="1:9" ht="13.5" x14ac:dyDescent="0.25">
      <c r="A94" s="94" t="s">
        <v>312</v>
      </c>
      <c r="B94" s="95" t="s">
        <v>266</v>
      </c>
      <c r="C94" s="94" t="s">
        <v>312</v>
      </c>
      <c r="D94" s="94" t="s">
        <v>261</v>
      </c>
      <c r="E94" s="96">
        <v>38492</v>
      </c>
      <c r="F94" s="97">
        <f ca="1">DATEDIF(E94,TODAY(),"Y")</f>
        <v>11</v>
      </c>
      <c r="G94" s="98" t="s">
        <v>276</v>
      </c>
      <c r="H94" s="99">
        <v>22535</v>
      </c>
      <c r="I94" s="100">
        <v>3</v>
      </c>
    </row>
    <row r="95" spans="1:9" ht="13.5" x14ac:dyDescent="0.25">
      <c r="A95" s="94" t="s">
        <v>312</v>
      </c>
      <c r="B95" s="95" t="s">
        <v>280</v>
      </c>
      <c r="C95" s="94" t="s">
        <v>312</v>
      </c>
      <c r="D95" s="94" t="s">
        <v>247</v>
      </c>
      <c r="E95" s="96">
        <v>38612</v>
      </c>
      <c r="F95" s="97">
        <f ca="1">DATEDIF(E95,TODAY(),"Y")</f>
        <v>11</v>
      </c>
      <c r="G95" s="98"/>
      <c r="H95" s="99">
        <v>25790</v>
      </c>
      <c r="I95" s="100">
        <v>3</v>
      </c>
    </row>
    <row r="96" spans="1:9" ht="13.5" x14ac:dyDescent="0.25">
      <c r="A96" s="94" t="s">
        <v>312</v>
      </c>
      <c r="B96" s="95" t="s">
        <v>285</v>
      </c>
      <c r="C96" s="94" t="s">
        <v>312</v>
      </c>
      <c r="D96" s="94" t="s">
        <v>247</v>
      </c>
      <c r="E96" s="96">
        <v>38649</v>
      </c>
      <c r="F96" s="97">
        <f ca="1">DATEDIF(E96,TODAY(),"Y")</f>
        <v>11</v>
      </c>
      <c r="G96" s="98"/>
      <c r="H96" s="99">
        <v>79460</v>
      </c>
      <c r="I96" s="100">
        <v>5</v>
      </c>
    </row>
    <row r="97" spans="1:9" ht="13.5" x14ac:dyDescent="0.25">
      <c r="A97" s="94" t="s">
        <v>312</v>
      </c>
      <c r="B97" s="95" t="s">
        <v>271</v>
      </c>
      <c r="C97" s="94" t="s">
        <v>312</v>
      </c>
      <c r="D97" s="94" t="s">
        <v>256</v>
      </c>
      <c r="E97" s="96">
        <v>38775</v>
      </c>
      <c r="F97" s="97">
        <f ca="1">DATEDIF(E97,TODAY(),"Y")</f>
        <v>10</v>
      </c>
      <c r="G97" s="98" t="s">
        <v>257</v>
      </c>
      <c r="H97" s="99">
        <v>41490</v>
      </c>
      <c r="I97" s="100">
        <v>5</v>
      </c>
    </row>
    <row r="98" spans="1:9" ht="13.5" x14ac:dyDescent="0.25">
      <c r="A98" s="94" t="s">
        <v>312</v>
      </c>
      <c r="B98" s="95" t="s">
        <v>271</v>
      </c>
      <c r="C98" s="94" t="s">
        <v>312</v>
      </c>
      <c r="D98" s="94" t="s">
        <v>256</v>
      </c>
      <c r="E98" s="96">
        <v>38964</v>
      </c>
      <c r="F98" s="97">
        <f ca="1">DATEDIF(E98,TODAY(),"Y")</f>
        <v>10</v>
      </c>
      <c r="G98" s="98" t="s">
        <v>262</v>
      </c>
      <c r="H98" s="99">
        <v>38730</v>
      </c>
      <c r="I98" s="100">
        <v>1</v>
      </c>
    </row>
    <row r="99" spans="1:9" ht="13.5" x14ac:dyDescent="0.25">
      <c r="A99" s="94" t="s">
        <v>312</v>
      </c>
      <c r="B99" s="95" t="s">
        <v>245</v>
      </c>
      <c r="C99" s="94" t="s">
        <v>312</v>
      </c>
      <c r="D99" s="94" t="s">
        <v>256</v>
      </c>
      <c r="E99" s="102">
        <v>38982</v>
      </c>
      <c r="F99" s="97">
        <f ca="1">DATEDIF(E99,TODAY(),"Y")</f>
        <v>10</v>
      </c>
      <c r="G99" s="98" t="s">
        <v>257</v>
      </c>
      <c r="H99" s="99">
        <v>23280</v>
      </c>
      <c r="I99" s="100">
        <v>1</v>
      </c>
    </row>
    <row r="100" spans="1:9" ht="13.5" x14ac:dyDescent="0.25">
      <c r="A100" s="94" t="s">
        <v>312</v>
      </c>
      <c r="B100" s="95" t="s">
        <v>271</v>
      </c>
      <c r="C100" s="94" t="s">
        <v>312</v>
      </c>
      <c r="D100" s="94" t="s">
        <v>256</v>
      </c>
      <c r="E100" s="96">
        <v>39191</v>
      </c>
      <c r="F100" s="97">
        <f ca="1">DATEDIF(E100,TODAY(),"Y")</f>
        <v>9</v>
      </c>
      <c r="G100" s="98" t="s">
        <v>267</v>
      </c>
      <c r="H100" s="99">
        <v>77820</v>
      </c>
      <c r="I100" s="100">
        <v>3</v>
      </c>
    </row>
    <row r="101" spans="1:9" ht="13.5" x14ac:dyDescent="0.25">
      <c r="A101" s="94" t="s">
        <v>312</v>
      </c>
      <c r="B101" s="95" t="s">
        <v>251</v>
      </c>
      <c r="C101" s="94" t="s">
        <v>312</v>
      </c>
      <c r="D101" s="94" t="s">
        <v>256</v>
      </c>
      <c r="E101" s="96">
        <v>39265</v>
      </c>
      <c r="F101" s="97">
        <f ca="1">DATEDIF(E101,TODAY(),"Y")</f>
        <v>9</v>
      </c>
      <c r="G101" s="98" t="s">
        <v>276</v>
      </c>
      <c r="H101" s="99">
        <v>74710</v>
      </c>
      <c r="I101" s="100">
        <v>2</v>
      </c>
    </row>
    <row r="102" spans="1:9" ht="13.5" x14ac:dyDescent="0.25">
      <c r="A102" s="94" t="s">
        <v>312</v>
      </c>
      <c r="B102" s="95" t="s">
        <v>285</v>
      </c>
      <c r="C102" s="94" t="s">
        <v>312</v>
      </c>
      <c r="D102" s="94" t="s">
        <v>256</v>
      </c>
      <c r="E102" s="96">
        <v>39286</v>
      </c>
      <c r="F102" s="97">
        <f ca="1">DATEDIF(E102,TODAY(),"Y")</f>
        <v>9</v>
      </c>
      <c r="G102" s="98" t="s">
        <v>267</v>
      </c>
      <c r="H102" s="99">
        <v>68910</v>
      </c>
      <c r="I102" s="100">
        <v>5</v>
      </c>
    </row>
    <row r="103" spans="1:9" ht="13.5" x14ac:dyDescent="0.25">
      <c r="A103" s="101"/>
      <c r="B103" s="95"/>
      <c r="C103" s="101"/>
      <c r="D103" s="94"/>
      <c r="E103" s="96"/>
      <c r="F103" s="97"/>
      <c r="G103" s="98"/>
      <c r="H103" s="99"/>
      <c r="I103" s="100"/>
    </row>
    <row r="104" spans="1:9" ht="13.5" x14ac:dyDescent="0.25">
      <c r="A104" s="94" t="s">
        <v>372</v>
      </c>
      <c r="B104" s="95" t="s">
        <v>285</v>
      </c>
      <c r="C104" s="94" t="s">
        <v>372</v>
      </c>
      <c r="D104" s="94" t="s">
        <v>256</v>
      </c>
      <c r="E104" s="96">
        <v>36573</v>
      </c>
      <c r="F104" s="97">
        <f ca="1">DATEDIF(E104,TODAY(),"Y")</f>
        <v>16</v>
      </c>
      <c r="G104" s="98" t="s">
        <v>257</v>
      </c>
      <c r="H104" s="99">
        <v>86530</v>
      </c>
      <c r="I104" s="100">
        <v>1</v>
      </c>
    </row>
    <row r="105" spans="1:9" ht="13.5" x14ac:dyDescent="0.25">
      <c r="A105" s="94" t="s">
        <v>372</v>
      </c>
      <c r="B105" s="95" t="s">
        <v>271</v>
      </c>
      <c r="C105" s="94" t="s">
        <v>372</v>
      </c>
      <c r="D105" s="94" t="s">
        <v>256</v>
      </c>
      <c r="E105" s="96">
        <v>37087</v>
      </c>
      <c r="F105" s="97">
        <f ca="1">DATEDIF(E105,TODAY(),"Y")</f>
        <v>15</v>
      </c>
      <c r="G105" s="98" t="s">
        <v>257</v>
      </c>
      <c r="H105" s="99">
        <v>36630</v>
      </c>
      <c r="I105" s="100">
        <v>4</v>
      </c>
    </row>
    <row r="106" spans="1:9" ht="13.5" x14ac:dyDescent="0.25">
      <c r="A106" s="94" t="s">
        <v>372</v>
      </c>
      <c r="B106" s="95" t="s">
        <v>285</v>
      </c>
      <c r="C106" s="94" t="s">
        <v>372</v>
      </c>
      <c r="D106" s="94" t="s">
        <v>247</v>
      </c>
      <c r="E106" s="96">
        <v>37445</v>
      </c>
      <c r="F106" s="97">
        <f ca="1">DATEDIF(E106,TODAY(),"Y")</f>
        <v>14</v>
      </c>
      <c r="G106" s="98"/>
      <c r="H106" s="99">
        <v>78860</v>
      </c>
      <c r="I106" s="100">
        <v>2</v>
      </c>
    </row>
    <row r="107" spans="1:9" ht="13.5" x14ac:dyDescent="0.25">
      <c r="A107" s="94" t="s">
        <v>372</v>
      </c>
      <c r="B107" s="95" t="s">
        <v>280</v>
      </c>
      <c r="C107" s="94" t="s">
        <v>372</v>
      </c>
      <c r="D107" s="94" t="s">
        <v>256</v>
      </c>
      <c r="E107" s="96">
        <v>38078</v>
      </c>
      <c r="F107" s="97">
        <f ca="1">DATEDIF(E107,TODAY(),"Y")</f>
        <v>12</v>
      </c>
      <c r="G107" s="98" t="s">
        <v>257</v>
      </c>
      <c r="H107" s="99">
        <v>71120</v>
      </c>
      <c r="I107" s="100">
        <v>4</v>
      </c>
    </row>
    <row r="108" spans="1:9" ht="13.5" x14ac:dyDescent="0.25">
      <c r="A108" s="94" t="s">
        <v>372</v>
      </c>
      <c r="B108" s="95" t="s">
        <v>271</v>
      </c>
      <c r="C108" s="94" t="s">
        <v>372</v>
      </c>
      <c r="D108" s="94" t="s">
        <v>247</v>
      </c>
      <c r="E108" s="96">
        <v>38219</v>
      </c>
      <c r="F108" s="97">
        <f ca="1">DATEDIF(E108,TODAY(),"Y")</f>
        <v>12</v>
      </c>
      <c r="G108" s="98"/>
      <c r="H108" s="99">
        <v>35620</v>
      </c>
      <c r="I108" s="100">
        <v>4</v>
      </c>
    </row>
    <row r="109" spans="1:9" ht="13.5" x14ac:dyDescent="0.25">
      <c r="A109" s="94" t="s">
        <v>372</v>
      </c>
      <c r="B109" s="95" t="s">
        <v>285</v>
      </c>
      <c r="C109" s="94" t="s">
        <v>372</v>
      </c>
      <c r="D109" s="94" t="s">
        <v>256</v>
      </c>
      <c r="E109" s="96">
        <v>38613</v>
      </c>
      <c r="F109" s="97">
        <f ca="1">DATEDIF(E109,TODAY(),"Y")</f>
        <v>11</v>
      </c>
      <c r="G109" s="98" t="s">
        <v>257</v>
      </c>
      <c r="H109" s="99">
        <v>76440</v>
      </c>
      <c r="I109" s="100">
        <v>3</v>
      </c>
    </row>
    <row r="110" spans="1:9" ht="13.5" x14ac:dyDescent="0.25">
      <c r="A110" s="94" t="s">
        <v>372</v>
      </c>
      <c r="B110" s="95" t="s">
        <v>285</v>
      </c>
      <c r="C110" s="94" t="s">
        <v>372</v>
      </c>
      <c r="D110" s="94" t="s">
        <v>247</v>
      </c>
      <c r="E110" s="102">
        <v>38943</v>
      </c>
      <c r="F110" s="97">
        <f ca="1">DATEDIF(E110,TODAY(),"Y")</f>
        <v>10</v>
      </c>
      <c r="G110" s="98"/>
      <c r="H110" s="99">
        <v>59350</v>
      </c>
      <c r="I110" s="100">
        <v>5</v>
      </c>
    </row>
    <row r="111" spans="1:9" ht="13.5" x14ac:dyDescent="0.25">
      <c r="A111" s="94" t="s">
        <v>372</v>
      </c>
      <c r="B111" s="95" t="s">
        <v>251</v>
      </c>
      <c r="C111" s="94" t="s">
        <v>372</v>
      </c>
      <c r="D111" s="94" t="s">
        <v>261</v>
      </c>
      <c r="E111" s="102">
        <v>39195</v>
      </c>
      <c r="F111" s="97">
        <f ca="1">DATEDIF(E111,TODAY(),"Y")</f>
        <v>9</v>
      </c>
      <c r="G111" s="98" t="s">
        <v>283</v>
      </c>
      <c r="H111" s="99">
        <v>46230</v>
      </c>
      <c r="I111" s="100">
        <v>2</v>
      </c>
    </row>
    <row r="112" spans="1:9" ht="13.5" x14ac:dyDescent="0.25">
      <c r="A112" s="101"/>
      <c r="B112" s="95"/>
      <c r="C112" s="101"/>
      <c r="D112" s="94"/>
      <c r="E112" s="102"/>
      <c r="F112" s="97"/>
      <c r="G112" s="98"/>
      <c r="H112" s="99"/>
      <c r="I112" s="100"/>
    </row>
    <row r="113" spans="1:9" ht="13.5" x14ac:dyDescent="0.25">
      <c r="A113" s="94" t="s">
        <v>381</v>
      </c>
      <c r="B113" s="95" t="s">
        <v>285</v>
      </c>
      <c r="C113" s="94" t="s">
        <v>381</v>
      </c>
      <c r="D113" s="94" t="s">
        <v>256</v>
      </c>
      <c r="E113" s="96">
        <v>31761</v>
      </c>
      <c r="F113" s="97">
        <f ca="1">DATEDIF(E113,TODAY(),"Y")</f>
        <v>29</v>
      </c>
      <c r="G113" s="98" t="s">
        <v>283</v>
      </c>
      <c r="H113" s="99">
        <v>69060</v>
      </c>
      <c r="I113" s="100">
        <v>1</v>
      </c>
    </row>
    <row r="114" spans="1:9" ht="13.5" x14ac:dyDescent="0.25">
      <c r="A114" s="94" t="s">
        <v>381</v>
      </c>
      <c r="B114" s="95" t="s">
        <v>271</v>
      </c>
      <c r="C114" s="94" t="s">
        <v>381</v>
      </c>
      <c r="D114" s="94" t="s">
        <v>256</v>
      </c>
      <c r="E114" s="96">
        <v>34139</v>
      </c>
      <c r="F114" s="97">
        <f ca="1">DATEDIF(E114,TODAY(),"Y")</f>
        <v>23</v>
      </c>
      <c r="G114" s="98" t="s">
        <v>283</v>
      </c>
      <c r="H114" s="99">
        <v>22920</v>
      </c>
      <c r="I114" s="100">
        <v>3</v>
      </c>
    </row>
    <row r="115" spans="1:9" ht="13.5" x14ac:dyDescent="0.25">
      <c r="A115" s="94" t="s">
        <v>381</v>
      </c>
      <c r="B115" s="95" t="s">
        <v>266</v>
      </c>
      <c r="C115" s="94" t="s">
        <v>381</v>
      </c>
      <c r="D115" s="94" t="s">
        <v>256</v>
      </c>
      <c r="E115" s="96">
        <v>34204</v>
      </c>
      <c r="F115" s="97">
        <f ca="1">DATEDIF(E115,TODAY(),"Y")</f>
        <v>23</v>
      </c>
      <c r="G115" s="98" t="s">
        <v>267</v>
      </c>
      <c r="H115" s="99">
        <v>26510</v>
      </c>
      <c r="I115" s="100">
        <v>1</v>
      </c>
    </row>
    <row r="116" spans="1:9" ht="13.5" x14ac:dyDescent="0.25">
      <c r="A116" s="94" t="s">
        <v>381</v>
      </c>
      <c r="B116" s="95" t="s">
        <v>280</v>
      </c>
      <c r="C116" s="94" t="s">
        <v>381</v>
      </c>
      <c r="D116" s="94" t="s">
        <v>256</v>
      </c>
      <c r="E116" s="96">
        <v>34872</v>
      </c>
      <c r="F116" s="97">
        <f ca="1">DATEDIF(E116,TODAY(),"Y")</f>
        <v>21</v>
      </c>
      <c r="G116" s="98" t="s">
        <v>283</v>
      </c>
      <c r="H116" s="99">
        <v>68300</v>
      </c>
      <c r="I116" s="100">
        <v>5</v>
      </c>
    </row>
    <row r="117" spans="1:9" ht="13.5" x14ac:dyDescent="0.25">
      <c r="A117" s="94" t="s">
        <v>381</v>
      </c>
      <c r="B117" s="95" t="s">
        <v>271</v>
      </c>
      <c r="C117" s="94" t="s">
        <v>381</v>
      </c>
      <c r="D117" s="94" t="s">
        <v>256</v>
      </c>
      <c r="E117" s="96">
        <v>34939</v>
      </c>
      <c r="F117" s="97">
        <f ca="1">DATEDIF(E117,TODAY(),"Y")</f>
        <v>21</v>
      </c>
      <c r="G117" s="98" t="s">
        <v>257</v>
      </c>
      <c r="H117" s="99">
        <v>49860</v>
      </c>
      <c r="I117" s="100">
        <v>2</v>
      </c>
    </row>
    <row r="118" spans="1:9" ht="13.5" x14ac:dyDescent="0.25">
      <c r="A118" s="94" t="s">
        <v>381</v>
      </c>
      <c r="B118" s="95" t="s">
        <v>285</v>
      </c>
      <c r="C118" s="94" t="s">
        <v>381</v>
      </c>
      <c r="D118" s="94" t="s">
        <v>256</v>
      </c>
      <c r="E118" s="96">
        <v>37837</v>
      </c>
      <c r="F118" s="97">
        <f ca="1">DATEDIF(E118,TODAY(),"Y")</f>
        <v>13</v>
      </c>
      <c r="G118" s="98" t="s">
        <v>283</v>
      </c>
      <c r="H118" s="99">
        <v>43680</v>
      </c>
      <c r="I118" s="100">
        <v>5</v>
      </c>
    </row>
    <row r="119" spans="1:9" ht="13.5" x14ac:dyDescent="0.25">
      <c r="A119" s="94" t="s">
        <v>381</v>
      </c>
      <c r="B119" s="95" t="s">
        <v>271</v>
      </c>
      <c r="C119" s="94" t="s">
        <v>381</v>
      </c>
      <c r="D119" s="94" t="s">
        <v>252</v>
      </c>
      <c r="E119" s="102">
        <v>39003</v>
      </c>
      <c r="F119" s="97">
        <f ca="1">DATEDIF(E119,TODAY(),"Y")</f>
        <v>10</v>
      </c>
      <c r="G119" s="98"/>
      <c r="H119" s="99">
        <v>27484</v>
      </c>
      <c r="I119" s="100">
        <v>4</v>
      </c>
    </row>
    <row r="120" spans="1:9" ht="13.5" x14ac:dyDescent="0.25">
      <c r="A120" s="94" t="s">
        <v>381</v>
      </c>
      <c r="B120" s="95" t="s">
        <v>271</v>
      </c>
      <c r="C120" s="94" t="s">
        <v>381</v>
      </c>
      <c r="D120" s="94" t="s">
        <v>261</v>
      </c>
      <c r="E120" s="102">
        <v>39206</v>
      </c>
      <c r="F120" s="97">
        <f ca="1">DATEDIF(E120,TODAY(),"Y")</f>
        <v>9</v>
      </c>
      <c r="G120" s="98" t="s">
        <v>283</v>
      </c>
      <c r="H120" s="99">
        <v>28625</v>
      </c>
      <c r="I120" s="100">
        <v>1</v>
      </c>
    </row>
    <row r="121" spans="1:9" ht="13.5" x14ac:dyDescent="0.25">
      <c r="A121" s="94" t="s">
        <v>381</v>
      </c>
      <c r="B121" s="95" t="s">
        <v>285</v>
      </c>
      <c r="C121" s="94" t="s">
        <v>381</v>
      </c>
      <c r="D121" s="94" t="s">
        <v>261</v>
      </c>
      <c r="E121" s="96">
        <v>39262</v>
      </c>
      <c r="F121" s="97">
        <f ca="1">DATEDIF(E121,TODAY(),"Y")</f>
        <v>9</v>
      </c>
      <c r="G121" s="98" t="s">
        <v>283</v>
      </c>
      <c r="H121" s="99">
        <v>10520</v>
      </c>
      <c r="I121" s="100">
        <v>4</v>
      </c>
    </row>
    <row r="122" spans="1:9" ht="13.5" x14ac:dyDescent="0.25">
      <c r="A122" s="101"/>
      <c r="B122" s="95"/>
      <c r="C122" s="101"/>
      <c r="D122" s="94"/>
      <c r="E122" s="96"/>
      <c r="F122" s="97"/>
      <c r="G122" s="98"/>
      <c r="H122" s="99"/>
      <c r="I122" s="100"/>
    </row>
    <row r="123" spans="1:9" ht="13.5" x14ac:dyDescent="0.25">
      <c r="A123" s="94" t="s">
        <v>391</v>
      </c>
      <c r="B123" s="95" t="s">
        <v>285</v>
      </c>
      <c r="C123" s="94" t="s">
        <v>391</v>
      </c>
      <c r="D123" s="94" t="s">
        <v>252</v>
      </c>
      <c r="E123" s="96">
        <v>31873</v>
      </c>
      <c r="F123" s="97">
        <f ca="1">DATEDIF(E123,TODAY(),"Y")</f>
        <v>29</v>
      </c>
      <c r="G123" s="98"/>
      <c r="H123" s="99">
        <v>14712</v>
      </c>
      <c r="I123" s="100">
        <v>5</v>
      </c>
    </row>
    <row r="124" spans="1:9" ht="13.5" x14ac:dyDescent="0.25">
      <c r="A124" s="94" t="s">
        <v>391</v>
      </c>
      <c r="B124" s="95" t="s">
        <v>251</v>
      </c>
      <c r="C124" s="94" t="s">
        <v>391</v>
      </c>
      <c r="D124" s="94" t="s">
        <v>247</v>
      </c>
      <c r="E124" s="96">
        <v>31935</v>
      </c>
      <c r="F124" s="97">
        <f ca="1">DATEDIF(E124,TODAY(),"Y")</f>
        <v>29</v>
      </c>
      <c r="G124" s="98"/>
      <c r="H124" s="99">
        <v>80050</v>
      </c>
      <c r="I124" s="100">
        <v>2</v>
      </c>
    </row>
    <row r="125" spans="1:9" ht="13.5" x14ac:dyDescent="0.25">
      <c r="A125" s="94" t="s">
        <v>391</v>
      </c>
      <c r="B125" s="95" t="s">
        <v>245</v>
      </c>
      <c r="C125" s="94" t="s">
        <v>391</v>
      </c>
      <c r="D125" s="94" t="s">
        <v>256</v>
      </c>
      <c r="E125" s="96">
        <v>32137</v>
      </c>
      <c r="F125" s="97">
        <f ca="1">DATEDIF(E125,TODAY(),"Y")</f>
        <v>28</v>
      </c>
      <c r="G125" s="98" t="s">
        <v>283</v>
      </c>
      <c r="H125" s="99">
        <v>37620</v>
      </c>
      <c r="I125" s="100">
        <v>5</v>
      </c>
    </row>
    <row r="126" spans="1:9" ht="13.5" x14ac:dyDescent="0.25">
      <c r="A126" s="94" t="s">
        <v>391</v>
      </c>
      <c r="B126" s="95" t="s">
        <v>271</v>
      </c>
      <c r="C126" s="94" t="s">
        <v>391</v>
      </c>
      <c r="D126" s="94" t="s">
        <v>256</v>
      </c>
      <c r="E126" s="96">
        <v>32303</v>
      </c>
      <c r="F126" s="97">
        <f ca="1">DATEDIF(E126,TODAY(),"Y")</f>
        <v>28</v>
      </c>
      <c r="G126" s="98" t="s">
        <v>267</v>
      </c>
      <c r="H126" s="99">
        <v>82500</v>
      </c>
      <c r="I126" s="100">
        <v>5</v>
      </c>
    </row>
    <row r="127" spans="1:9" ht="13.5" x14ac:dyDescent="0.25">
      <c r="A127" s="94" t="s">
        <v>391</v>
      </c>
      <c r="B127" s="95" t="s">
        <v>285</v>
      </c>
      <c r="C127" s="94" t="s">
        <v>391</v>
      </c>
      <c r="D127" s="94" t="s">
        <v>256</v>
      </c>
      <c r="E127" s="96">
        <v>32513</v>
      </c>
      <c r="F127" s="97">
        <f ca="1">DATEDIF(E127,TODAY(),"Y")</f>
        <v>27</v>
      </c>
      <c r="G127" s="98" t="s">
        <v>283</v>
      </c>
      <c r="H127" s="99">
        <v>82760</v>
      </c>
      <c r="I127" s="100">
        <v>4</v>
      </c>
    </row>
    <row r="128" spans="1:9" ht="13.5" x14ac:dyDescent="0.25">
      <c r="A128" s="94" t="s">
        <v>391</v>
      </c>
      <c r="B128" s="95" t="s">
        <v>285</v>
      </c>
      <c r="C128" s="94" t="s">
        <v>391</v>
      </c>
      <c r="D128" s="94" t="s">
        <v>261</v>
      </c>
      <c r="E128" s="96">
        <v>32684</v>
      </c>
      <c r="F128" s="97">
        <f ca="1">DATEDIF(E128,TODAY(),"Y")</f>
        <v>27</v>
      </c>
      <c r="G128" s="98" t="s">
        <v>276</v>
      </c>
      <c r="H128" s="99">
        <v>18655</v>
      </c>
      <c r="I128" s="100">
        <v>4</v>
      </c>
    </row>
    <row r="129" spans="1:9" ht="13.5" x14ac:dyDescent="0.25">
      <c r="A129" s="94" t="s">
        <v>391</v>
      </c>
      <c r="B129" s="95" t="s">
        <v>245</v>
      </c>
      <c r="C129" s="94" t="s">
        <v>391</v>
      </c>
      <c r="D129" s="94" t="s">
        <v>247</v>
      </c>
      <c r="E129" s="96">
        <v>33840</v>
      </c>
      <c r="F129" s="97">
        <f ca="1">DATEDIF(E129,TODAY(),"Y")</f>
        <v>24</v>
      </c>
      <c r="G129" s="98"/>
      <c r="H129" s="99">
        <v>35260</v>
      </c>
      <c r="I129" s="100">
        <v>2</v>
      </c>
    </row>
    <row r="130" spans="1:9" ht="13.5" x14ac:dyDescent="0.25">
      <c r="A130" s="94" t="s">
        <v>391</v>
      </c>
      <c r="B130" s="95" t="s">
        <v>266</v>
      </c>
      <c r="C130" s="94" t="s">
        <v>391</v>
      </c>
      <c r="D130" s="94" t="s">
        <v>256</v>
      </c>
      <c r="E130" s="96">
        <v>34177</v>
      </c>
      <c r="F130" s="97">
        <f ca="1">DATEDIF(E130,TODAY(),"Y")</f>
        <v>23</v>
      </c>
      <c r="G130" s="98" t="s">
        <v>257</v>
      </c>
      <c r="H130" s="99">
        <v>80120</v>
      </c>
      <c r="I130" s="100">
        <v>4</v>
      </c>
    </row>
    <row r="131" spans="1:9" ht="13.5" x14ac:dyDescent="0.25">
      <c r="A131" s="94" t="s">
        <v>391</v>
      </c>
      <c r="B131" s="95" t="s">
        <v>285</v>
      </c>
      <c r="C131" s="94" t="s">
        <v>391</v>
      </c>
      <c r="D131" s="94" t="s">
        <v>252</v>
      </c>
      <c r="E131" s="96">
        <v>34363</v>
      </c>
      <c r="F131" s="97">
        <f ca="1">DATEDIF(E131,TODAY(),"Y")</f>
        <v>22</v>
      </c>
      <c r="G131" s="98"/>
      <c r="H131" s="99">
        <v>12676</v>
      </c>
      <c r="I131" s="100">
        <v>2</v>
      </c>
    </row>
    <row r="132" spans="1:9" ht="13.5" x14ac:dyDescent="0.25">
      <c r="A132" s="94" t="s">
        <v>391</v>
      </c>
      <c r="B132" s="95" t="s">
        <v>271</v>
      </c>
      <c r="C132" s="94" t="s">
        <v>391</v>
      </c>
      <c r="D132" s="94" t="s">
        <v>247</v>
      </c>
      <c r="E132" s="96">
        <v>34427</v>
      </c>
      <c r="F132" s="97">
        <f ca="1">DATEDIF(E132,TODAY(),"Y")</f>
        <v>22</v>
      </c>
      <c r="G132" s="98"/>
      <c r="H132" s="99">
        <v>76020</v>
      </c>
      <c r="I132" s="100">
        <v>1</v>
      </c>
    </row>
    <row r="133" spans="1:9" ht="13.5" x14ac:dyDescent="0.25">
      <c r="A133" s="94" t="s">
        <v>391</v>
      </c>
      <c r="B133" s="95" t="s">
        <v>271</v>
      </c>
      <c r="C133" s="94" t="s">
        <v>391</v>
      </c>
      <c r="D133" s="94" t="s">
        <v>247</v>
      </c>
      <c r="E133" s="96">
        <v>34649</v>
      </c>
      <c r="F133" s="97">
        <f ca="1">DATEDIF(E133,TODAY(),"Y")</f>
        <v>21</v>
      </c>
      <c r="G133" s="98"/>
      <c r="H133" s="99">
        <v>64470</v>
      </c>
      <c r="I133" s="100">
        <v>3</v>
      </c>
    </row>
    <row r="134" spans="1:9" ht="13.5" x14ac:dyDescent="0.25">
      <c r="A134" s="94" t="s">
        <v>391</v>
      </c>
      <c r="B134" s="95" t="s">
        <v>271</v>
      </c>
      <c r="C134" s="94" t="s">
        <v>391</v>
      </c>
      <c r="D134" s="94" t="s">
        <v>256</v>
      </c>
      <c r="E134" s="96">
        <v>34767</v>
      </c>
      <c r="F134" s="97">
        <f ca="1">DATEDIF(E134,TODAY(),"Y")</f>
        <v>21</v>
      </c>
      <c r="G134" s="98" t="s">
        <v>283</v>
      </c>
      <c r="H134" s="99">
        <v>50110</v>
      </c>
      <c r="I134" s="100">
        <v>1</v>
      </c>
    </row>
    <row r="135" spans="1:9" ht="13.5" x14ac:dyDescent="0.25">
      <c r="A135" s="94" t="s">
        <v>391</v>
      </c>
      <c r="B135" s="95" t="s">
        <v>251</v>
      </c>
      <c r="C135" s="94" t="s">
        <v>391</v>
      </c>
      <c r="D135" s="94" t="s">
        <v>247</v>
      </c>
      <c r="E135" s="96">
        <v>34866</v>
      </c>
      <c r="F135" s="97">
        <f ca="1">DATEDIF(E135,TODAY(),"Y")</f>
        <v>21</v>
      </c>
      <c r="G135" s="98"/>
      <c r="H135" s="99">
        <v>32940</v>
      </c>
      <c r="I135" s="100">
        <v>5</v>
      </c>
    </row>
    <row r="136" spans="1:9" ht="13.5" x14ac:dyDescent="0.25">
      <c r="A136" s="94" t="s">
        <v>391</v>
      </c>
      <c r="B136" s="95" t="s">
        <v>285</v>
      </c>
      <c r="C136" s="94" t="s">
        <v>391</v>
      </c>
      <c r="D136" s="94" t="s">
        <v>256</v>
      </c>
      <c r="E136" s="96">
        <v>34959</v>
      </c>
      <c r="F136" s="97">
        <f ca="1">DATEDIF(E136,TODAY(),"Y")</f>
        <v>21</v>
      </c>
      <c r="G136" s="98" t="s">
        <v>283</v>
      </c>
      <c r="H136" s="99">
        <v>61330</v>
      </c>
      <c r="I136" s="100">
        <v>1</v>
      </c>
    </row>
    <row r="137" spans="1:9" ht="13.5" x14ac:dyDescent="0.25">
      <c r="A137" s="94" t="s">
        <v>391</v>
      </c>
      <c r="B137" s="95" t="s">
        <v>266</v>
      </c>
      <c r="C137" s="94" t="s">
        <v>391</v>
      </c>
      <c r="D137" s="94" t="s">
        <v>247</v>
      </c>
      <c r="E137" s="96">
        <v>35032</v>
      </c>
      <c r="F137" s="97">
        <f ca="1">DATEDIF(E137,TODAY(),"Y")</f>
        <v>20</v>
      </c>
      <c r="G137" s="98"/>
      <c r="H137" s="99">
        <v>86970</v>
      </c>
      <c r="I137" s="100">
        <v>4</v>
      </c>
    </row>
    <row r="138" spans="1:9" ht="13.5" x14ac:dyDescent="0.25">
      <c r="A138" s="94" t="s">
        <v>391</v>
      </c>
      <c r="B138" s="95" t="s">
        <v>271</v>
      </c>
      <c r="C138" s="94" t="s">
        <v>391</v>
      </c>
      <c r="D138" s="94" t="s">
        <v>261</v>
      </c>
      <c r="E138" s="96">
        <v>35047</v>
      </c>
      <c r="F138" s="97">
        <f ca="1">DATEDIF(E138,TODAY(),"Y")</f>
        <v>20</v>
      </c>
      <c r="G138" s="98" t="s">
        <v>276</v>
      </c>
      <c r="H138" s="99">
        <v>42905</v>
      </c>
      <c r="I138" s="100">
        <v>1</v>
      </c>
    </row>
    <row r="139" spans="1:9" ht="13.5" x14ac:dyDescent="0.25">
      <c r="A139" s="94" t="s">
        <v>391</v>
      </c>
      <c r="B139" s="95" t="s">
        <v>271</v>
      </c>
      <c r="C139" s="94" t="s">
        <v>391</v>
      </c>
      <c r="D139" s="94" t="s">
        <v>256</v>
      </c>
      <c r="E139" s="96">
        <v>35803</v>
      </c>
      <c r="F139" s="97">
        <f ca="1">DATEDIF(E139,TODAY(),"Y")</f>
        <v>18</v>
      </c>
      <c r="G139" s="98" t="s">
        <v>267</v>
      </c>
      <c r="H139" s="99">
        <v>61150</v>
      </c>
      <c r="I139" s="100">
        <v>4</v>
      </c>
    </row>
    <row r="140" spans="1:9" ht="13.5" x14ac:dyDescent="0.25">
      <c r="A140" s="94" t="s">
        <v>391</v>
      </c>
      <c r="B140" s="95" t="s">
        <v>266</v>
      </c>
      <c r="C140" s="94" t="s">
        <v>391</v>
      </c>
      <c r="D140" s="94" t="s">
        <v>256</v>
      </c>
      <c r="E140" s="96">
        <v>36302</v>
      </c>
      <c r="F140" s="97">
        <f ca="1">DATEDIF(E140,TODAY(),"Y")</f>
        <v>17</v>
      </c>
      <c r="G140" s="98" t="s">
        <v>267</v>
      </c>
      <c r="H140" s="99">
        <v>39740</v>
      </c>
      <c r="I140" s="100">
        <v>1</v>
      </c>
    </row>
    <row r="141" spans="1:9" ht="13.5" x14ac:dyDescent="0.25">
      <c r="A141" s="94" t="s">
        <v>391</v>
      </c>
      <c r="B141" s="95" t="s">
        <v>280</v>
      </c>
      <c r="C141" s="94" t="s">
        <v>391</v>
      </c>
      <c r="D141" s="94" t="s">
        <v>247</v>
      </c>
      <c r="E141" s="96">
        <v>36357</v>
      </c>
      <c r="F141" s="97">
        <f ca="1">DATEDIF(E141,TODAY(),"Y")</f>
        <v>17</v>
      </c>
      <c r="G141" s="98"/>
      <c r="H141" s="99">
        <v>73390</v>
      </c>
      <c r="I141" s="100">
        <v>2</v>
      </c>
    </row>
    <row r="142" spans="1:9" ht="13.5" x14ac:dyDescent="0.25">
      <c r="A142" s="101"/>
      <c r="B142" s="95"/>
      <c r="C142" s="101"/>
      <c r="D142" s="94"/>
      <c r="E142" s="96"/>
      <c r="F142" s="97"/>
      <c r="G142" s="98"/>
      <c r="H142" s="99"/>
      <c r="I142" s="100"/>
    </row>
    <row r="143" spans="1:9" ht="13.5" x14ac:dyDescent="0.25">
      <c r="A143" s="94" t="s">
        <v>411</v>
      </c>
      <c r="B143" s="95" t="s">
        <v>271</v>
      </c>
      <c r="C143" s="94" t="s">
        <v>411</v>
      </c>
      <c r="D143" s="94" t="s">
        <v>256</v>
      </c>
      <c r="E143" s="96">
        <v>34019</v>
      </c>
      <c r="F143" s="97">
        <f ca="1">DATEDIF(E143,TODAY(),"Y")</f>
        <v>23</v>
      </c>
      <c r="G143" s="98" t="s">
        <v>257</v>
      </c>
      <c r="H143" s="99">
        <v>66740</v>
      </c>
      <c r="I143" s="100">
        <v>2</v>
      </c>
    </row>
    <row r="144" spans="1:9" ht="13.5" x14ac:dyDescent="0.25">
      <c r="A144" s="94" t="s">
        <v>411</v>
      </c>
      <c r="B144" s="95" t="s">
        <v>271</v>
      </c>
      <c r="C144" s="94" t="s">
        <v>411</v>
      </c>
      <c r="D144" s="94" t="s">
        <v>256</v>
      </c>
      <c r="E144" s="96">
        <v>34019</v>
      </c>
      <c r="F144" s="97">
        <f ca="1">DATEDIF(E144,TODAY(),"Y")</f>
        <v>23</v>
      </c>
      <c r="G144" s="98" t="s">
        <v>257</v>
      </c>
      <c r="H144" s="99">
        <v>66740</v>
      </c>
      <c r="I144" s="100">
        <v>2</v>
      </c>
    </row>
    <row r="145" spans="1:9" ht="13.5" x14ac:dyDescent="0.25">
      <c r="A145" s="94" t="s">
        <v>411</v>
      </c>
      <c r="B145" s="95" t="s">
        <v>245</v>
      </c>
      <c r="C145" s="94" t="s">
        <v>411</v>
      </c>
      <c r="D145" s="94" t="s">
        <v>256</v>
      </c>
      <c r="E145" s="96">
        <v>35259</v>
      </c>
      <c r="F145" s="97">
        <f ca="1">DATEDIF(E145,TODAY(),"Y")</f>
        <v>20</v>
      </c>
      <c r="G145" s="98" t="s">
        <v>283</v>
      </c>
      <c r="H145" s="99">
        <v>75060</v>
      </c>
      <c r="I145" s="100">
        <v>5</v>
      </c>
    </row>
    <row r="146" spans="1:9" ht="13.5" x14ac:dyDescent="0.25">
      <c r="A146" s="94" t="s">
        <v>411</v>
      </c>
      <c r="B146" s="95" t="s">
        <v>285</v>
      </c>
      <c r="C146" s="94" t="s">
        <v>411</v>
      </c>
      <c r="D146" s="94" t="s">
        <v>247</v>
      </c>
      <c r="E146" s="96">
        <v>37217</v>
      </c>
      <c r="F146" s="97">
        <f ca="1">DATEDIF(E146,TODAY(),"Y")</f>
        <v>14</v>
      </c>
      <c r="G146" s="98"/>
      <c r="H146" s="99">
        <v>60060</v>
      </c>
      <c r="I146" s="100">
        <v>2</v>
      </c>
    </row>
    <row r="147" spans="1:9" ht="13.5" x14ac:dyDescent="0.25">
      <c r="A147" s="94" t="s">
        <v>411</v>
      </c>
      <c r="B147" s="95" t="s">
        <v>285</v>
      </c>
      <c r="C147" s="94" t="s">
        <v>411</v>
      </c>
      <c r="D147" s="94" t="s">
        <v>256</v>
      </c>
      <c r="E147" s="96">
        <v>37277</v>
      </c>
      <c r="F147" s="97">
        <f ca="1">DATEDIF(E147,TODAY(),"Y")</f>
        <v>14</v>
      </c>
      <c r="G147" s="98" t="s">
        <v>257</v>
      </c>
      <c r="H147" s="99">
        <v>47350</v>
      </c>
      <c r="I147" s="100">
        <v>5</v>
      </c>
    </row>
    <row r="148" spans="1:9" ht="13.5" x14ac:dyDescent="0.25">
      <c r="A148" s="94" t="s">
        <v>411</v>
      </c>
      <c r="B148" s="95" t="s">
        <v>245</v>
      </c>
      <c r="C148" s="94" t="s">
        <v>411</v>
      </c>
      <c r="D148" s="94" t="s">
        <v>256</v>
      </c>
      <c r="E148" s="102">
        <v>39090</v>
      </c>
      <c r="F148" s="97">
        <f ca="1">DATEDIF(E148,TODAY(),"Y")</f>
        <v>9</v>
      </c>
      <c r="G148" s="98" t="s">
        <v>283</v>
      </c>
      <c r="H148" s="99">
        <v>79150</v>
      </c>
      <c r="I148" s="100">
        <v>2</v>
      </c>
    </row>
    <row r="149" spans="1:9" ht="13.5" x14ac:dyDescent="0.25">
      <c r="A149" s="101"/>
      <c r="B149" s="95"/>
      <c r="C149" s="101"/>
      <c r="D149" s="94"/>
      <c r="E149" s="102"/>
      <c r="F149" s="97"/>
      <c r="G149" s="98"/>
      <c r="H149" s="99"/>
      <c r="I149" s="100"/>
    </row>
    <row r="150" spans="1:9" ht="13.5" x14ac:dyDescent="0.25">
      <c r="A150" s="94" t="s">
        <v>417</v>
      </c>
      <c r="B150" s="95" t="s">
        <v>280</v>
      </c>
      <c r="C150" s="94" t="s">
        <v>417</v>
      </c>
      <c r="D150" s="94" t="s">
        <v>256</v>
      </c>
      <c r="E150" s="96">
        <v>31769</v>
      </c>
      <c r="F150" s="97">
        <f ca="1">DATEDIF(E150,TODAY(),"Y")</f>
        <v>29</v>
      </c>
      <c r="G150" s="98" t="s">
        <v>276</v>
      </c>
      <c r="H150" s="99">
        <v>32360</v>
      </c>
      <c r="I150" s="100">
        <v>4</v>
      </c>
    </row>
    <row r="151" spans="1:9" ht="13.5" x14ac:dyDescent="0.25">
      <c r="A151" s="94" t="s">
        <v>417</v>
      </c>
      <c r="B151" s="95" t="s">
        <v>271</v>
      </c>
      <c r="C151" s="94" t="s">
        <v>417</v>
      </c>
      <c r="D151" s="94" t="s">
        <v>256</v>
      </c>
      <c r="E151" s="96">
        <v>31807</v>
      </c>
      <c r="F151" s="97">
        <f ca="1">DATEDIF(E151,TODAY(),"Y")</f>
        <v>29</v>
      </c>
      <c r="G151" s="98" t="s">
        <v>267</v>
      </c>
      <c r="H151" s="99">
        <v>35360</v>
      </c>
      <c r="I151" s="100">
        <v>5</v>
      </c>
    </row>
    <row r="152" spans="1:9" ht="13.5" x14ac:dyDescent="0.25">
      <c r="A152" s="94" t="s">
        <v>417</v>
      </c>
      <c r="B152" s="95" t="s">
        <v>271</v>
      </c>
      <c r="C152" s="94" t="s">
        <v>417</v>
      </c>
      <c r="D152" s="94" t="s">
        <v>256</v>
      </c>
      <c r="E152" s="96">
        <v>32095</v>
      </c>
      <c r="F152" s="97">
        <f ca="1">DATEDIF(E152,TODAY(),"Y")</f>
        <v>28</v>
      </c>
      <c r="G152" s="98" t="s">
        <v>283</v>
      </c>
      <c r="H152" s="99">
        <v>32140</v>
      </c>
      <c r="I152" s="100">
        <v>2</v>
      </c>
    </row>
    <row r="153" spans="1:9" ht="13.5" x14ac:dyDescent="0.25">
      <c r="A153" s="94" t="s">
        <v>417</v>
      </c>
      <c r="B153" s="95" t="s">
        <v>285</v>
      </c>
      <c r="C153" s="94" t="s">
        <v>417</v>
      </c>
      <c r="D153" s="94" t="s">
        <v>247</v>
      </c>
      <c r="E153" s="96">
        <v>32114</v>
      </c>
      <c r="F153" s="97">
        <f ca="1">DATEDIF(E153,TODAY(),"Y")</f>
        <v>28</v>
      </c>
      <c r="G153" s="98"/>
      <c r="H153" s="99">
        <v>22320</v>
      </c>
      <c r="I153" s="100">
        <v>2</v>
      </c>
    </row>
    <row r="154" spans="1:9" ht="13.5" x14ac:dyDescent="0.25">
      <c r="A154" s="94" t="s">
        <v>417</v>
      </c>
      <c r="B154" s="95" t="s">
        <v>245</v>
      </c>
      <c r="C154" s="94" t="s">
        <v>417</v>
      </c>
      <c r="D154" s="94" t="s">
        <v>261</v>
      </c>
      <c r="E154" s="96">
        <v>32399</v>
      </c>
      <c r="F154" s="97">
        <f ca="1">DATEDIF(E154,TODAY(),"Y")</f>
        <v>28</v>
      </c>
      <c r="G154" s="98" t="s">
        <v>257</v>
      </c>
      <c r="H154" s="99">
        <v>34110</v>
      </c>
      <c r="I154" s="100">
        <v>4</v>
      </c>
    </row>
    <row r="155" spans="1:9" ht="13.5" x14ac:dyDescent="0.25">
      <c r="A155" s="94" t="s">
        <v>417</v>
      </c>
      <c r="B155" s="95" t="s">
        <v>280</v>
      </c>
      <c r="C155" s="94" t="s">
        <v>417</v>
      </c>
      <c r="D155" s="94" t="s">
        <v>256</v>
      </c>
      <c r="E155" s="96">
        <v>32562</v>
      </c>
      <c r="F155" s="97">
        <f ca="1">DATEDIF(E155,TODAY(),"Y")</f>
        <v>27</v>
      </c>
      <c r="G155" s="98" t="s">
        <v>257</v>
      </c>
      <c r="H155" s="99">
        <v>64510</v>
      </c>
      <c r="I155" s="100">
        <v>3</v>
      </c>
    </row>
    <row r="156" spans="1:9" ht="13.5" x14ac:dyDescent="0.25">
      <c r="A156" s="94" t="s">
        <v>417</v>
      </c>
      <c r="B156" s="95" t="s">
        <v>251</v>
      </c>
      <c r="C156" s="94" t="s">
        <v>417</v>
      </c>
      <c r="D156" s="94" t="s">
        <v>256</v>
      </c>
      <c r="E156" s="96">
        <v>32613</v>
      </c>
      <c r="F156" s="97">
        <f ca="1">DATEDIF(E156,TODAY(),"Y")</f>
        <v>27</v>
      </c>
      <c r="G156" s="98" t="s">
        <v>283</v>
      </c>
      <c r="H156" s="99">
        <v>46340</v>
      </c>
      <c r="I156" s="100">
        <v>5</v>
      </c>
    </row>
    <row r="157" spans="1:9" ht="13.5" x14ac:dyDescent="0.25">
      <c r="A157" s="94" t="s">
        <v>417</v>
      </c>
      <c r="B157" s="95" t="s">
        <v>251</v>
      </c>
      <c r="C157" s="94" t="s">
        <v>417</v>
      </c>
      <c r="D157" s="94" t="s">
        <v>256</v>
      </c>
      <c r="E157" s="96">
        <v>32613</v>
      </c>
      <c r="F157" s="97">
        <f ca="1">DATEDIF(E157,TODAY(),"Y")</f>
        <v>27</v>
      </c>
      <c r="G157" s="98" t="s">
        <v>283</v>
      </c>
      <c r="H157" s="99">
        <v>46340</v>
      </c>
      <c r="I157" s="100">
        <v>5</v>
      </c>
    </row>
    <row r="158" spans="1:9" ht="13.5" x14ac:dyDescent="0.25">
      <c r="A158" s="94" t="s">
        <v>417</v>
      </c>
      <c r="B158" s="95" t="s">
        <v>271</v>
      </c>
      <c r="C158" s="94" t="s">
        <v>417</v>
      </c>
      <c r="D158" s="94" t="s">
        <v>247</v>
      </c>
      <c r="E158" s="96">
        <v>32639</v>
      </c>
      <c r="F158" s="97">
        <f ca="1">DATEDIF(E158,TODAY(),"Y")</f>
        <v>27</v>
      </c>
      <c r="G158" s="98"/>
      <c r="H158" s="99">
        <v>81070</v>
      </c>
      <c r="I158" s="100">
        <v>5</v>
      </c>
    </row>
    <row r="159" spans="1:9" ht="13.5" x14ac:dyDescent="0.25">
      <c r="A159" s="94" t="s">
        <v>417</v>
      </c>
      <c r="B159" s="95" t="s">
        <v>285</v>
      </c>
      <c r="C159" s="94" t="s">
        <v>417</v>
      </c>
      <c r="D159" s="94" t="s">
        <v>256</v>
      </c>
      <c r="E159" s="96">
        <v>32776</v>
      </c>
      <c r="F159" s="97">
        <f ca="1">DATEDIF(E159,TODAY(),"Y")</f>
        <v>27</v>
      </c>
      <c r="G159" s="98" t="s">
        <v>257</v>
      </c>
      <c r="H159" s="99">
        <v>31840</v>
      </c>
      <c r="I159" s="100">
        <v>1</v>
      </c>
    </row>
    <row r="160" spans="1:9" ht="13.5" x14ac:dyDescent="0.25">
      <c r="A160" s="94" t="s">
        <v>417</v>
      </c>
      <c r="B160" s="95" t="s">
        <v>245</v>
      </c>
      <c r="C160" s="94" t="s">
        <v>417</v>
      </c>
      <c r="D160" s="94" t="s">
        <v>247</v>
      </c>
      <c r="E160" s="96">
        <v>32851</v>
      </c>
      <c r="F160" s="97">
        <f ca="1">DATEDIF(E160,TODAY(),"Y")</f>
        <v>26</v>
      </c>
      <c r="G160" s="98"/>
      <c r="H160" s="99">
        <v>64090</v>
      </c>
      <c r="I160" s="100">
        <v>2</v>
      </c>
    </row>
    <row r="161" spans="1:9" ht="13.5" x14ac:dyDescent="0.25">
      <c r="A161" s="94" t="s">
        <v>417</v>
      </c>
      <c r="B161" s="95" t="s">
        <v>271</v>
      </c>
      <c r="C161" s="94" t="s">
        <v>417</v>
      </c>
      <c r="D161" s="94" t="s">
        <v>256</v>
      </c>
      <c r="E161" s="96">
        <v>32903</v>
      </c>
      <c r="F161" s="97">
        <f ca="1">DATEDIF(E161,TODAY(),"Y")</f>
        <v>26</v>
      </c>
      <c r="G161" s="98" t="s">
        <v>257</v>
      </c>
      <c r="H161" s="99">
        <v>72900</v>
      </c>
      <c r="I161" s="100">
        <v>3</v>
      </c>
    </row>
    <row r="162" spans="1:9" ht="13.5" x14ac:dyDescent="0.25">
      <c r="A162" s="94" t="s">
        <v>417</v>
      </c>
      <c r="B162" s="95" t="s">
        <v>285</v>
      </c>
      <c r="C162" s="94" t="s">
        <v>417</v>
      </c>
      <c r="D162" s="94" t="s">
        <v>261</v>
      </c>
      <c r="E162" s="96">
        <v>33445</v>
      </c>
      <c r="F162" s="97">
        <f ca="1">DATEDIF(E162,TODAY(),"Y")</f>
        <v>25</v>
      </c>
      <c r="G162" s="98" t="s">
        <v>267</v>
      </c>
      <c r="H162" s="99">
        <v>15005</v>
      </c>
      <c r="I162" s="100">
        <v>4</v>
      </c>
    </row>
    <row r="163" spans="1:9" ht="13.5" x14ac:dyDescent="0.25">
      <c r="A163" s="94" t="s">
        <v>417</v>
      </c>
      <c r="B163" s="95" t="s">
        <v>245</v>
      </c>
      <c r="C163" s="94" t="s">
        <v>417</v>
      </c>
      <c r="D163" s="94" t="s">
        <v>247</v>
      </c>
      <c r="E163" s="96">
        <v>33451</v>
      </c>
      <c r="F163" s="97">
        <f ca="1">DATEDIF(E163,TODAY(),"Y")</f>
        <v>25</v>
      </c>
      <c r="G163" s="98"/>
      <c r="H163" s="99">
        <v>45040</v>
      </c>
      <c r="I163" s="100">
        <v>5</v>
      </c>
    </row>
    <row r="164" spans="1:9" ht="13.5" x14ac:dyDescent="0.25">
      <c r="A164" s="94" t="s">
        <v>417</v>
      </c>
      <c r="B164" s="95" t="s">
        <v>271</v>
      </c>
      <c r="C164" s="94" t="s">
        <v>417</v>
      </c>
      <c r="D164" s="94" t="s">
        <v>247</v>
      </c>
      <c r="E164" s="96">
        <v>33461</v>
      </c>
      <c r="F164" s="97">
        <f ca="1">DATEDIF(E164,TODAY(),"Y")</f>
        <v>25</v>
      </c>
      <c r="G164" s="98"/>
      <c r="H164" s="99">
        <v>26360</v>
      </c>
      <c r="I164" s="100">
        <v>4</v>
      </c>
    </row>
    <row r="165" spans="1:9" ht="13.5" x14ac:dyDescent="0.25">
      <c r="A165" s="94" t="s">
        <v>417</v>
      </c>
      <c r="B165" s="95" t="s">
        <v>285</v>
      </c>
      <c r="C165" s="94" t="s">
        <v>417</v>
      </c>
      <c r="D165" s="94" t="s">
        <v>247</v>
      </c>
      <c r="E165" s="96">
        <v>33602</v>
      </c>
      <c r="F165" s="97">
        <f ca="1">DATEDIF(E165,TODAY(),"Y")</f>
        <v>24</v>
      </c>
      <c r="G165" s="98"/>
      <c r="H165" s="99">
        <v>40560</v>
      </c>
      <c r="I165" s="100">
        <v>5</v>
      </c>
    </row>
    <row r="166" spans="1:9" ht="13.5" x14ac:dyDescent="0.25">
      <c r="A166" s="94" t="s">
        <v>417</v>
      </c>
      <c r="B166" s="95" t="s">
        <v>285</v>
      </c>
      <c r="C166" s="94" t="s">
        <v>417</v>
      </c>
      <c r="D166" s="94" t="s">
        <v>261</v>
      </c>
      <c r="E166" s="96">
        <v>33760</v>
      </c>
      <c r="F166" s="97">
        <f ca="1">DATEDIF(E166,TODAY(),"Y")</f>
        <v>24</v>
      </c>
      <c r="G166" s="98" t="s">
        <v>276</v>
      </c>
      <c r="H166" s="99">
        <v>21220</v>
      </c>
      <c r="I166" s="100">
        <v>3</v>
      </c>
    </row>
    <row r="167" spans="1:9" ht="13.5" x14ac:dyDescent="0.25">
      <c r="A167" s="94" t="s">
        <v>417</v>
      </c>
      <c r="B167" s="95" t="s">
        <v>271</v>
      </c>
      <c r="C167" s="94" t="s">
        <v>417</v>
      </c>
      <c r="D167" s="94" t="s">
        <v>256</v>
      </c>
      <c r="E167" s="96">
        <v>33774</v>
      </c>
      <c r="F167" s="97">
        <f ca="1">DATEDIF(E167,TODAY(),"Y")</f>
        <v>24</v>
      </c>
      <c r="G167" s="98" t="s">
        <v>276</v>
      </c>
      <c r="H167" s="99">
        <v>49260</v>
      </c>
      <c r="I167" s="100">
        <v>3</v>
      </c>
    </row>
    <row r="168" spans="1:9" ht="13.5" x14ac:dyDescent="0.25">
      <c r="A168" s="94" t="s">
        <v>417</v>
      </c>
      <c r="B168" s="95" t="s">
        <v>285</v>
      </c>
      <c r="C168" s="94" t="s">
        <v>417</v>
      </c>
      <c r="D168" s="94" t="s">
        <v>261</v>
      </c>
      <c r="E168" s="96">
        <v>33876</v>
      </c>
      <c r="F168" s="97">
        <f ca="1">DATEDIF(E168,TODAY(),"Y")</f>
        <v>24</v>
      </c>
      <c r="G168" s="98" t="s">
        <v>276</v>
      </c>
      <c r="H168" s="99">
        <v>32835</v>
      </c>
      <c r="I168" s="100">
        <v>2</v>
      </c>
    </row>
    <row r="169" spans="1:9" ht="13.5" x14ac:dyDescent="0.25">
      <c r="A169" s="94" t="s">
        <v>417</v>
      </c>
      <c r="B169" s="95" t="s">
        <v>285</v>
      </c>
      <c r="C169" s="94" t="s">
        <v>417</v>
      </c>
      <c r="D169" s="94" t="s">
        <v>256</v>
      </c>
      <c r="E169" s="96">
        <v>33943</v>
      </c>
      <c r="F169" s="97">
        <f ca="1">DATEDIF(E169,TODAY(),"Y")</f>
        <v>23</v>
      </c>
      <c r="G169" s="98" t="s">
        <v>257</v>
      </c>
      <c r="H169" s="99">
        <v>63780</v>
      </c>
      <c r="I169" s="100">
        <v>5</v>
      </c>
    </row>
    <row r="170" spans="1:9" ht="13.5" x14ac:dyDescent="0.25">
      <c r="A170" s="94" t="s">
        <v>417</v>
      </c>
      <c r="B170" s="95" t="s">
        <v>285</v>
      </c>
      <c r="C170" s="94" t="s">
        <v>417</v>
      </c>
      <c r="D170" s="94" t="s">
        <v>256</v>
      </c>
      <c r="E170" s="96">
        <v>34191</v>
      </c>
      <c r="F170" s="97">
        <f ca="1">DATEDIF(E170,TODAY(),"Y")</f>
        <v>23</v>
      </c>
      <c r="G170" s="98" t="s">
        <v>283</v>
      </c>
      <c r="H170" s="99">
        <v>37750</v>
      </c>
      <c r="I170" s="100">
        <v>5</v>
      </c>
    </row>
    <row r="171" spans="1:9" ht="13.5" x14ac:dyDescent="0.25">
      <c r="A171" s="94" t="s">
        <v>417</v>
      </c>
      <c r="B171" s="95" t="s">
        <v>271</v>
      </c>
      <c r="C171" s="94" t="s">
        <v>417</v>
      </c>
      <c r="D171" s="94" t="s">
        <v>256</v>
      </c>
      <c r="E171" s="96">
        <v>34295</v>
      </c>
      <c r="F171" s="97">
        <f ca="1">DATEDIF(E171,TODAY(),"Y")</f>
        <v>22</v>
      </c>
      <c r="G171" s="98" t="s">
        <v>283</v>
      </c>
      <c r="H171" s="99">
        <v>56870</v>
      </c>
      <c r="I171" s="100">
        <v>1</v>
      </c>
    </row>
    <row r="172" spans="1:9" ht="13.5" x14ac:dyDescent="0.25">
      <c r="A172" s="94" t="s">
        <v>417</v>
      </c>
      <c r="B172" s="95" t="s">
        <v>271</v>
      </c>
      <c r="C172" s="94" t="s">
        <v>417</v>
      </c>
      <c r="D172" s="94" t="s">
        <v>247</v>
      </c>
      <c r="E172" s="96">
        <v>34629</v>
      </c>
      <c r="F172" s="97">
        <f ca="1">DATEDIF(E172,TODAY(),"Y")</f>
        <v>22</v>
      </c>
      <c r="G172" s="98"/>
      <c r="H172" s="99">
        <v>25120</v>
      </c>
      <c r="I172" s="100">
        <v>5</v>
      </c>
    </row>
    <row r="173" spans="1:9" ht="13.5" x14ac:dyDescent="0.25">
      <c r="A173" s="94" t="s">
        <v>417</v>
      </c>
      <c r="B173" s="95" t="s">
        <v>251</v>
      </c>
      <c r="C173" s="94" t="s">
        <v>417</v>
      </c>
      <c r="D173" s="94" t="s">
        <v>256</v>
      </c>
      <c r="E173" s="96">
        <v>34679</v>
      </c>
      <c r="F173" s="97">
        <f ca="1">DATEDIF(E173,TODAY(),"Y")</f>
        <v>21</v>
      </c>
      <c r="G173" s="98" t="s">
        <v>262</v>
      </c>
      <c r="H173" s="99">
        <v>71010</v>
      </c>
      <c r="I173" s="100">
        <v>5</v>
      </c>
    </row>
    <row r="174" spans="1:9" ht="13.5" x14ac:dyDescent="0.25">
      <c r="A174" s="94" t="s">
        <v>417</v>
      </c>
      <c r="B174" s="95" t="s">
        <v>251</v>
      </c>
      <c r="C174" s="94" t="s">
        <v>417</v>
      </c>
      <c r="D174" s="94" t="s">
        <v>256</v>
      </c>
      <c r="E174" s="96">
        <v>34772</v>
      </c>
      <c r="F174" s="97">
        <f ca="1">DATEDIF(E174,TODAY(),"Y")</f>
        <v>21</v>
      </c>
      <c r="G174" s="98" t="s">
        <v>283</v>
      </c>
      <c r="H174" s="99">
        <v>82400</v>
      </c>
      <c r="I174" s="100">
        <v>2</v>
      </c>
    </row>
    <row r="175" spans="1:9" ht="13.5" x14ac:dyDescent="0.25">
      <c r="A175" s="94" t="s">
        <v>417</v>
      </c>
      <c r="B175" s="95" t="s">
        <v>280</v>
      </c>
      <c r="C175" s="94" t="s">
        <v>417</v>
      </c>
      <c r="D175" s="94" t="s">
        <v>252</v>
      </c>
      <c r="E175" s="96">
        <v>34953</v>
      </c>
      <c r="F175" s="97">
        <f ca="1">DATEDIF(E175,TODAY(),"Y")</f>
        <v>21</v>
      </c>
      <c r="G175" s="98"/>
      <c r="H175" s="99">
        <v>38768</v>
      </c>
      <c r="I175" s="100">
        <v>4</v>
      </c>
    </row>
    <row r="176" spans="1:9" ht="13.5" x14ac:dyDescent="0.25">
      <c r="A176" s="94" t="s">
        <v>417</v>
      </c>
      <c r="B176" s="95" t="s">
        <v>280</v>
      </c>
      <c r="C176" s="94" t="s">
        <v>417</v>
      </c>
      <c r="D176" s="94" t="s">
        <v>256</v>
      </c>
      <c r="E176" s="96">
        <v>35104</v>
      </c>
      <c r="F176" s="97">
        <f ca="1">DATEDIF(E176,TODAY(),"Y")</f>
        <v>20</v>
      </c>
      <c r="G176" s="98" t="s">
        <v>276</v>
      </c>
      <c r="H176" s="99">
        <v>39680</v>
      </c>
      <c r="I176" s="100">
        <v>5</v>
      </c>
    </row>
    <row r="177" spans="1:9" ht="13.5" x14ac:dyDescent="0.25">
      <c r="A177" s="94" t="s">
        <v>417</v>
      </c>
      <c r="B177" s="95" t="s">
        <v>245</v>
      </c>
      <c r="C177" s="94" t="s">
        <v>417</v>
      </c>
      <c r="D177" s="94" t="s">
        <v>256</v>
      </c>
      <c r="E177" s="96">
        <v>35333</v>
      </c>
      <c r="F177" s="97">
        <f ca="1">DATEDIF(E177,TODAY(),"Y")</f>
        <v>20</v>
      </c>
      <c r="G177" s="98" t="s">
        <v>283</v>
      </c>
      <c r="H177" s="99">
        <v>71380</v>
      </c>
      <c r="I177" s="100">
        <v>2</v>
      </c>
    </row>
    <row r="178" spans="1:9" ht="13.5" x14ac:dyDescent="0.25">
      <c r="A178" s="94" t="s">
        <v>417</v>
      </c>
      <c r="B178" s="95" t="s">
        <v>271</v>
      </c>
      <c r="C178" s="94" t="s">
        <v>417</v>
      </c>
      <c r="D178" s="94" t="s">
        <v>256</v>
      </c>
      <c r="E178" s="96">
        <v>35978</v>
      </c>
      <c r="F178" s="97">
        <f ca="1">DATEDIF(E178,TODAY(),"Y")</f>
        <v>18</v>
      </c>
      <c r="G178" s="98" t="s">
        <v>257</v>
      </c>
      <c r="H178" s="99">
        <v>42480</v>
      </c>
      <c r="I178" s="100">
        <v>3</v>
      </c>
    </row>
    <row r="179" spans="1:9" ht="13.5" x14ac:dyDescent="0.25">
      <c r="A179" s="94" t="s">
        <v>417</v>
      </c>
      <c r="B179" s="95" t="s">
        <v>285</v>
      </c>
      <c r="C179" s="94" t="s">
        <v>417</v>
      </c>
      <c r="D179" s="94" t="s">
        <v>247</v>
      </c>
      <c r="E179" s="96">
        <v>36331</v>
      </c>
      <c r="F179" s="97">
        <f ca="1">DATEDIF(E179,TODAY(),"Y")</f>
        <v>17</v>
      </c>
      <c r="G179" s="98"/>
      <c r="H179" s="99">
        <v>31970</v>
      </c>
      <c r="I179" s="100">
        <v>5</v>
      </c>
    </row>
    <row r="180" spans="1:9" ht="13.5" x14ac:dyDescent="0.25">
      <c r="A180" s="94" t="s">
        <v>417</v>
      </c>
      <c r="B180" s="95" t="s">
        <v>285</v>
      </c>
      <c r="C180" s="94" t="s">
        <v>417</v>
      </c>
      <c r="D180" s="94" t="s">
        <v>256</v>
      </c>
      <c r="E180" s="96">
        <v>36825</v>
      </c>
      <c r="F180" s="97">
        <f ca="1">DATEDIF(E180,TODAY(),"Y")</f>
        <v>16</v>
      </c>
      <c r="G180" s="98" t="s">
        <v>267</v>
      </c>
      <c r="H180" s="99">
        <v>65560</v>
      </c>
      <c r="I180" s="100">
        <v>1</v>
      </c>
    </row>
    <row r="181" spans="1:9" ht="13.5" x14ac:dyDescent="0.25">
      <c r="A181" s="94" t="s">
        <v>417</v>
      </c>
      <c r="B181" s="95" t="s">
        <v>285</v>
      </c>
      <c r="C181" s="94" t="s">
        <v>417</v>
      </c>
      <c r="D181" s="94" t="s">
        <v>256</v>
      </c>
      <c r="E181" s="96">
        <v>37443</v>
      </c>
      <c r="F181" s="97">
        <f ca="1">DATEDIF(E181,TODAY(),"Y")</f>
        <v>14</v>
      </c>
      <c r="G181" s="98" t="s">
        <v>257</v>
      </c>
      <c r="H181" s="99">
        <v>22410</v>
      </c>
      <c r="I181" s="100">
        <v>4</v>
      </c>
    </row>
    <row r="182" spans="1:9" ht="13.5" x14ac:dyDescent="0.25">
      <c r="A182" s="94" t="s">
        <v>417</v>
      </c>
      <c r="B182" s="95" t="s">
        <v>271</v>
      </c>
      <c r="C182" s="94" t="s">
        <v>417</v>
      </c>
      <c r="D182" s="94" t="s">
        <v>261</v>
      </c>
      <c r="E182" s="96">
        <v>38458</v>
      </c>
      <c r="F182" s="97">
        <f ca="1">DATEDIF(E182,TODAY(),"Y")</f>
        <v>11</v>
      </c>
      <c r="G182" s="98" t="s">
        <v>257</v>
      </c>
      <c r="H182" s="99">
        <v>39515</v>
      </c>
      <c r="I182" s="100">
        <v>5</v>
      </c>
    </row>
    <row r="183" spans="1:9" ht="13.5" x14ac:dyDescent="0.25">
      <c r="A183" s="94" t="s">
        <v>417</v>
      </c>
      <c r="B183" s="95" t="s">
        <v>271</v>
      </c>
      <c r="C183" s="94" t="s">
        <v>417</v>
      </c>
      <c r="D183" s="94" t="s">
        <v>252</v>
      </c>
      <c r="E183" s="96">
        <v>38583</v>
      </c>
      <c r="F183" s="97">
        <f ca="1">DATEDIF(E183,TODAY(),"Y")</f>
        <v>11</v>
      </c>
      <c r="G183" s="98"/>
      <c r="H183" s="99">
        <v>15744</v>
      </c>
      <c r="I183" s="100">
        <v>3</v>
      </c>
    </row>
    <row r="184" spans="1:9" ht="13.5" x14ac:dyDescent="0.25">
      <c r="A184" s="94" t="s">
        <v>417</v>
      </c>
      <c r="B184" s="95" t="s">
        <v>251</v>
      </c>
      <c r="C184" s="94" t="s">
        <v>417</v>
      </c>
      <c r="D184" s="94" t="s">
        <v>247</v>
      </c>
      <c r="E184" s="96">
        <v>38744</v>
      </c>
      <c r="F184" s="97">
        <f ca="1">DATEDIF(E184,TODAY(),"Y")</f>
        <v>10</v>
      </c>
      <c r="G184" s="98"/>
      <c r="H184" s="99">
        <v>56920</v>
      </c>
      <c r="I184" s="100">
        <v>4</v>
      </c>
    </row>
    <row r="185" spans="1:9" ht="13.5" x14ac:dyDescent="0.25">
      <c r="A185" s="94" t="s">
        <v>417</v>
      </c>
      <c r="B185" s="95" t="s">
        <v>271</v>
      </c>
      <c r="C185" s="94" t="s">
        <v>417</v>
      </c>
      <c r="D185" s="94" t="s">
        <v>247</v>
      </c>
      <c r="E185" s="102">
        <v>38926</v>
      </c>
      <c r="F185" s="97">
        <f ca="1">DATEDIF(E185,TODAY(),"Y")</f>
        <v>10</v>
      </c>
      <c r="G185" s="98"/>
      <c r="H185" s="99">
        <v>45830</v>
      </c>
      <c r="I185" s="100">
        <v>4</v>
      </c>
    </row>
    <row r="186" spans="1:9" ht="13.5" x14ac:dyDescent="0.25">
      <c r="A186" s="94" t="s">
        <v>417</v>
      </c>
      <c r="B186" s="95" t="s">
        <v>266</v>
      </c>
      <c r="C186" s="94" t="s">
        <v>417</v>
      </c>
      <c r="D186" s="94" t="s">
        <v>247</v>
      </c>
      <c r="E186" s="96">
        <v>38949</v>
      </c>
      <c r="F186" s="97">
        <f ca="1">DATEDIF(E186,TODAY(),"Y")</f>
        <v>10</v>
      </c>
      <c r="G186" s="98"/>
      <c r="H186" s="99">
        <v>45710</v>
      </c>
      <c r="I186" s="100">
        <v>3</v>
      </c>
    </row>
    <row r="187" spans="1:9" ht="13.5" x14ac:dyDescent="0.25">
      <c r="A187" s="94" t="s">
        <v>417</v>
      </c>
      <c r="B187" s="95" t="s">
        <v>271</v>
      </c>
      <c r="C187" s="94" t="s">
        <v>417</v>
      </c>
      <c r="D187" s="94" t="s">
        <v>256</v>
      </c>
      <c r="E187" s="96">
        <v>39089</v>
      </c>
      <c r="F187" s="97">
        <f ca="1">DATEDIF(E187,TODAY(),"Y")</f>
        <v>9</v>
      </c>
      <c r="G187" s="98" t="s">
        <v>267</v>
      </c>
      <c r="H187" s="99">
        <v>32640</v>
      </c>
      <c r="I187" s="100">
        <v>4</v>
      </c>
    </row>
    <row r="188" spans="1:9" ht="13.5" x14ac:dyDescent="0.25">
      <c r="A188" s="94" t="s">
        <v>417</v>
      </c>
      <c r="B188" s="95" t="s">
        <v>285</v>
      </c>
      <c r="C188" s="94" t="s">
        <v>417</v>
      </c>
      <c r="D188" s="94" t="s">
        <v>256</v>
      </c>
      <c r="E188" s="96">
        <v>39160</v>
      </c>
      <c r="F188" s="97">
        <f ca="1">DATEDIF(E188,TODAY(),"Y")</f>
        <v>9</v>
      </c>
      <c r="G188" s="98" t="s">
        <v>283</v>
      </c>
      <c r="H188" s="99">
        <v>42620</v>
      </c>
      <c r="I188" s="100">
        <v>3</v>
      </c>
    </row>
    <row r="189" spans="1:9" ht="13.5" x14ac:dyDescent="0.25">
      <c r="A189" s="101"/>
      <c r="B189" s="95"/>
      <c r="C189" s="101"/>
      <c r="D189" s="94"/>
      <c r="E189" s="96"/>
      <c r="F189" s="97"/>
      <c r="G189" s="98"/>
      <c r="H189" s="99"/>
      <c r="I189" s="100"/>
    </row>
    <row r="190" spans="1:9" ht="13.5" x14ac:dyDescent="0.25">
      <c r="A190" s="94" t="s">
        <v>456</v>
      </c>
      <c r="B190" s="95" t="s">
        <v>271</v>
      </c>
      <c r="C190" s="94" t="s">
        <v>456</v>
      </c>
      <c r="D190" s="94" t="s">
        <v>256</v>
      </c>
      <c r="E190" s="96">
        <v>32075</v>
      </c>
      <c r="F190" s="97">
        <f ca="1">DATEDIF(E190,TODAY(),"Y")</f>
        <v>29</v>
      </c>
      <c r="G190" s="98" t="s">
        <v>257</v>
      </c>
      <c r="H190" s="99">
        <v>89140</v>
      </c>
      <c r="I190" s="100">
        <v>1</v>
      </c>
    </row>
    <row r="191" spans="1:9" ht="13.5" x14ac:dyDescent="0.25">
      <c r="A191" s="94" t="s">
        <v>456</v>
      </c>
      <c r="B191" s="95" t="s">
        <v>271</v>
      </c>
      <c r="C191" s="94" t="s">
        <v>456</v>
      </c>
      <c r="D191" s="94" t="s">
        <v>261</v>
      </c>
      <c r="E191" s="96">
        <v>33091</v>
      </c>
      <c r="F191" s="97">
        <f ca="1">DATEDIF(E191,TODAY(),"Y")</f>
        <v>26</v>
      </c>
      <c r="G191" s="98" t="s">
        <v>267</v>
      </c>
      <c r="H191" s="99">
        <v>89780</v>
      </c>
      <c r="I191" s="100">
        <v>4</v>
      </c>
    </row>
    <row r="192" spans="1:9" ht="13.5" x14ac:dyDescent="0.25">
      <c r="A192" s="94" t="s">
        <v>456</v>
      </c>
      <c r="B192" s="95" t="s">
        <v>271</v>
      </c>
      <c r="C192" s="94" t="s">
        <v>456</v>
      </c>
      <c r="D192" s="94" t="s">
        <v>252</v>
      </c>
      <c r="E192" s="96">
        <v>35209</v>
      </c>
      <c r="F192" s="97">
        <f ca="1">DATEDIF(E192,TODAY(),"Y")</f>
        <v>20</v>
      </c>
      <c r="G192" s="98" t="s">
        <v>283</v>
      </c>
      <c r="H192" s="99">
        <v>61860</v>
      </c>
      <c r="I192" s="100">
        <v>5</v>
      </c>
    </row>
    <row r="193" spans="1:9" ht="13.5" x14ac:dyDescent="0.25">
      <c r="A193" s="94" t="s">
        <v>456</v>
      </c>
      <c r="B193" s="95" t="s">
        <v>280</v>
      </c>
      <c r="C193" s="94" t="s">
        <v>456</v>
      </c>
      <c r="D193" s="94" t="s">
        <v>247</v>
      </c>
      <c r="E193" s="96">
        <v>35363</v>
      </c>
      <c r="F193" s="97">
        <f ca="1">DATEDIF(E193,TODAY(),"Y")</f>
        <v>20</v>
      </c>
      <c r="G193" s="98" t="s">
        <v>283</v>
      </c>
      <c r="H193" s="99">
        <v>69410</v>
      </c>
      <c r="I193" s="100">
        <v>4</v>
      </c>
    </row>
    <row r="194" spans="1:9" ht="13.5" x14ac:dyDescent="0.25">
      <c r="A194" s="94" t="s">
        <v>456</v>
      </c>
      <c r="B194" s="95" t="s">
        <v>280</v>
      </c>
      <c r="C194" s="94" t="s">
        <v>456</v>
      </c>
      <c r="D194" s="94" t="s">
        <v>256</v>
      </c>
      <c r="E194" s="96">
        <v>35733</v>
      </c>
      <c r="F194" s="97">
        <f ca="1">DATEDIF(E194,TODAY(),"Y")</f>
        <v>19</v>
      </c>
      <c r="G194" s="98" t="s">
        <v>262</v>
      </c>
      <c r="H194" s="99">
        <v>45150</v>
      </c>
      <c r="I194" s="100">
        <v>1</v>
      </c>
    </row>
    <row r="195" spans="1:9" ht="13.5" x14ac:dyDescent="0.25">
      <c r="A195" s="94" t="s">
        <v>456</v>
      </c>
      <c r="B195" s="95" t="s">
        <v>285</v>
      </c>
      <c r="C195" s="94" t="s">
        <v>456</v>
      </c>
      <c r="D195" s="94" t="s">
        <v>261</v>
      </c>
      <c r="E195" s="96">
        <v>36195</v>
      </c>
      <c r="F195" s="97">
        <f ca="1">DATEDIF(E195,TODAY(),"Y")</f>
        <v>17</v>
      </c>
      <c r="G195" s="98" t="s">
        <v>276</v>
      </c>
      <c r="H195" s="99">
        <v>51800</v>
      </c>
      <c r="I195" s="100">
        <v>1</v>
      </c>
    </row>
    <row r="196" spans="1:9" ht="13.5" x14ac:dyDescent="0.25">
      <c r="A196" s="94" t="s">
        <v>456</v>
      </c>
      <c r="B196" s="95" t="s">
        <v>285</v>
      </c>
      <c r="C196" s="94" t="s">
        <v>456</v>
      </c>
      <c r="D196" s="94" t="s">
        <v>252</v>
      </c>
      <c r="E196" s="96">
        <v>36636</v>
      </c>
      <c r="F196" s="97">
        <f ca="1">DATEDIF(E196,TODAY(),"Y")</f>
        <v>16</v>
      </c>
      <c r="G196" s="98" t="s">
        <v>257</v>
      </c>
      <c r="H196" s="99">
        <v>85130</v>
      </c>
      <c r="I196" s="100">
        <v>5</v>
      </c>
    </row>
    <row r="197" spans="1:9" ht="13.5" x14ac:dyDescent="0.25">
      <c r="A197" s="94" t="s">
        <v>456</v>
      </c>
      <c r="B197" s="95" t="s">
        <v>251</v>
      </c>
      <c r="C197" s="94" t="s">
        <v>456</v>
      </c>
      <c r="D197" s="94" t="s">
        <v>247</v>
      </c>
      <c r="E197" s="96">
        <v>38953</v>
      </c>
      <c r="F197" s="97">
        <f ca="1">DATEDIF(E197,TODAY(),"Y")</f>
        <v>10</v>
      </c>
      <c r="G197" s="98" t="s">
        <v>267</v>
      </c>
      <c r="H197" s="99">
        <v>71190</v>
      </c>
      <c r="I197" s="100">
        <v>4</v>
      </c>
    </row>
    <row r="198" spans="1:9" ht="13.5" x14ac:dyDescent="0.25">
      <c r="A198" s="101"/>
      <c r="B198" s="95"/>
      <c r="C198" s="101"/>
      <c r="D198" s="94"/>
      <c r="E198" s="96"/>
      <c r="F198" s="97"/>
      <c r="G198" s="98"/>
      <c r="H198" s="99"/>
      <c r="I198" s="100"/>
    </row>
    <row r="199" spans="1:9" ht="13.5" x14ac:dyDescent="0.25">
      <c r="A199" s="94" t="s">
        <v>465</v>
      </c>
      <c r="B199" s="95" t="s">
        <v>285</v>
      </c>
      <c r="C199" s="94" t="s">
        <v>465</v>
      </c>
      <c r="D199" s="94" t="s">
        <v>256</v>
      </c>
      <c r="E199" s="96">
        <v>32303</v>
      </c>
      <c r="F199" s="97">
        <f ca="1">DATEDIF(E199,TODAY(),"Y")</f>
        <v>28</v>
      </c>
      <c r="G199" s="98" t="s">
        <v>586</v>
      </c>
      <c r="H199" s="99">
        <v>56900</v>
      </c>
      <c r="I199" s="100">
        <v>5</v>
      </c>
    </row>
    <row r="200" spans="1:9" ht="13.5" x14ac:dyDescent="0.25">
      <c r="A200" s="94" t="s">
        <v>465</v>
      </c>
      <c r="B200" s="95" t="s">
        <v>271</v>
      </c>
      <c r="C200" s="94" t="s">
        <v>465</v>
      </c>
      <c r="D200" s="94" t="s">
        <v>256</v>
      </c>
      <c r="E200" s="96">
        <v>32321</v>
      </c>
      <c r="F200" s="97">
        <f ca="1">DATEDIF(E200,TODAY(),"Y")</f>
        <v>28</v>
      </c>
      <c r="G200" s="98" t="s">
        <v>257</v>
      </c>
      <c r="H200" s="99">
        <v>52940</v>
      </c>
      <c r="I200" s="100">
        <v>4</v>
      </c>
    </row>
    <row r="201" spans="1:9" ht="13.5" x14ac:dyDescent="0.25">
      <c r="A201" s="94" t="s">
        <v>465</v>
      </c>
      <c r="B201" s="95" t="s">
        <v>271</v>
      </c>
      <c r="C201" s="94" t="s">
        <v>465</v>
      </c>
      <c r="D201" s="94" t="s">
        <v>256</v>
      </c>
      <c r="E201" s="96">
        <v>32338</v>
      </c>
      <c r="F201" s="97">
        <f ca="1">DATEDIF(E201,TODAY(),"Y")</f>
        <v>28</v>
      </c>
      <c r="G201" s="98" t="s">
        <v>276</v>
      </c>
      <c r="H201" s="99">
        <v>60380</v>
      </c>
      <c r="I201" s="100">
        <v>4</v>
      </c>
    </row>
    <row r="202" spans="1:9" ht="13.5" x14ac:dyDescent="0.25">
      <c r="A202" s="94" t="s">
        <v>465</v>
      </c>
      <c r="B202" s="95" t="s">
        <v>245</v>
      </c>
      <c r="C202" s="94" t="s">
        <v>465</v>
      </c>
      <c r="D202" s="94" t="s">
        <v>256</v>
      </c>
      <c r="E202" s="96">
        <v>32410</v>
      </c>
      <c r="F202" s="97">
        <f ca="1">DATEDIF(E202,TODAY(),"Y")</f>
        <v>28</v>
      </c>
      <c r="G202" s="98" t="s">
        <v>283</v>
      </c>
      <c r="H202" s="99">
        <v>58910</v>
      </c>
      <c r="I202" s="100">
        <v>1</v>
      </c>
    </row>
    <row r="203" spans="1:9" ht="13.5" x14ac:dyDescent="0.25">
      <c r="A203" s="94" t="s">
        <v>465</v>
      </c>
      <c r="B203" s="95" t="s">
        <v>271</v>
      </c>
      <c r="C203" s="94" t="s">
        <v>465</v>
      </c>
      <c r="D203" s="94" t="s">
        <v>256</v>
      </c>
      <c r="E203" s="96">
        <v>32411</v>
      </c>
      <c r="F203" s="97">
        <f ca="1">DATEDIF(E203,TODAY(),"Y")</f>
        <v>28</v>
      </c>
      <c r="G203" s="98" t="s">
        <v>283</v>
      </c>
      <c r="H203" s="99">
        <v>26190</v>
      </c>
      <c r="I203" s="100">
        <v>5</v>
      </c>
    </row>
    <row r="204" spans="1:9" ht="13.5" x14ac:dyDescent="0.25">
      <c r="A204" s="94" t="s">
        <v>465</v>
      </c>
      <c r="B204" s="95" t="s">
        <v>280</v>
      </c>
      <c r="C204" s="94" t="s">
        <v>465</v>
      </c>
      <c r="D204" s="94" t="s">
        <v>252</v>
      </c>
      <c r="E204" s="96">
        <v>32441</v>
      </c>
      <c r="F204" s="97">
        <f ca="1">DATEDIF(E204,TODAY(),"Y")</f>
        <v>28</v>
      </c>
      <c r="G204" s="98"/>
      <c r="H204" s="99">
        <v>22344</v>
      </c>
      <c r="I204" s="100">
        <v>4</v>
      </c>
    </row>
    <row r="205" spans="1:9" ht="13.5" x14ac:dyDescent="0.25">
      <c r="A205" s="94" t="s">
        <v>465</v>
      </c>
      <c r="B205" s="95" t="s">
        <v>285</v>
      </c>
      <c r="C205" s="94" t="s">
        <v>465</v>
      </c>
      <c r="D205" s="94" t="s">
        <v>247</v>
      </c>
      <c r="E205" s="96">
        <v>32464</v>
      </c>
      <c r="F205" s="97">
        <f ca="1">DATEDIF(E205,TODAY(),"Y")</f>
        <v>27</v>
      </c>
      <c r="G205" s="98"/>
      <c r="H205" s="99">
        <v>32190</v>
      </c>
      <c r="I205" s="100">
        <v>3</v>
      </c>
    </row>
    <row r="206" spans="1:9" ht="13.5" x14ac:dyDescent="0.25">
      <c r="A206" s="94" t="s">
        <v>465</v>
      </c>
      <c r="B206" s="95" t="s">
        <v>271</v>
      </c>
      <c r="C206" s="94" t="s">
        <v>465</v>
      </c>
      <c r="D206" s="94" t="s">
        <v>247</v>
      </c>
      <c r="E206" s="96">
        <v>32509</v>
      </c>
      <c r="F206" s="97">
        <f ca="1">DATEDIF(E206,TODAY(),"Y")</f>
        <v>27</v>
      </c>
      <c r="G206" s="98"/>
      <c r="H206" s="99">
        <v>49530</v>
      </c>
      <c r="I206" s="100">
        <v>2</v>
      </c>
    </row>
    <row r="207" spans="1:9" ht="13.5" x14ac:dyDescent="0.25">
      <c r="A207" s="94" t="s">
        <v>465</v>
      </c>
      <c r="B207" s="95" t="s">
        <v>271</v>
      </c>
      <c r="C207" s="94" t="s">
        <v>465</v>
      </c>
      <c r="D207" s="94" t="s">
        <v>247</v>
      </c>
      <c r="E207" s="96">
        <v>32669</v>
      </c>
      <c r="F207" s="97">
        <f ca="1">DATEDIF(E207,TODAY(),"Y")</f>
        <v>27</v>
      </c>
      <c r="G207" s="98"/>
      <c r="H207" s="99">
        <v>73990</v>
      </c>
      <c r="I207" s="100">
        <v>3</v>
      </c>
    </row>
    <row r="208" spans="1:9" ht="13.5" x14ac:dyDescent="0.25">
      <c r="A208" s="94" t="s">
        <v>465</v>
      </c>
      <c r="B208" s="95" t="s">
        <v>271</v>
      </c>
      <c r="C208" s="94" t="s">
        <v>465</v>
      </c>
      <c r="D208" s="94" t="s">
        <v>256</v>
      </c>
      <c r="E208" s="96">
        <v>32683</v>
      </c>
      <c r="F208" s="97">
        <f ca="1">DATEDIF(E208,TODAY(),"Y")</f>
        <v>27</v>
      </c>
      <c r="G208" s="98" t="s">
        <v>283</v>
      </c>
      <c r="H208" s="99">
        <v>45500</v>
      </c>
      <c r="I208" s="100">
        <v>3</v>
      </c>
    </row>
    <row r="209" spans="1:9" ht="13.5" x14ac:dyDescent="0.25">
      <c r="A209" s="94" t="s">
        <v>465</v>
      </c>
      <c r="B209" s="95" t="s">
        <v>251</v>
      </c>
      <c r="C209" s="94" t="s">
        <v>465</v>
      </c>
      <c r="D209" s="94" t="s">
        <v>247</v>
      </c>
      <c r="E209" s="96">
        <v>32721</v>
      </c>
      <c r="F209" s="97">
        <f ca="1">DATEDIF(E209,TODAY(),"Y")</f>
        <v>27</v>
      </c>
      <c r="G209" s="98"/>
      <c r="H209" s="99">
        <v>64430</v>
      </c>
      <c r="I209" s="100">
        <v>4</v>
      </c>
    </row>
    <row r="210" spans="1:9" ht="13.5" x14ac:dyDescent="0.25">
      <c r="A210" s="94" t="s">
        <v>465</v>
      </c>
      <c r="B210" s="95" t="s">
        <v>245</v>
      </c>
      <c r="C210" s="94" t="s">
        <v>465</v>
      </c>
      <c r="D210" s="94" t="s">
        <v>247</v>
      </c>
      <c r="E210" s="96">
        <v>32743</v>
      </c>
      <c r="F210" s="97">
        <f ca="1">DATEDIF(E210,TODAY(),"Y")</f>
        <v>27</v>
      </c>
      <c r="G210" s="98"/>
      <c r="H210" s="99">
        <v>79220</v>
      </c>
      <c r="I210" s="100">
        <v>4</v>
      </c>
    </row>
    <row r="211" spans="1:9" ht="13.5" x14ac:dyDescent="0.25">
      <c r="A211" s="94" t="s">
        <v>465</v>
      </c>
      <c r="B211" s="95" t="s">
        <v>280</v>
      </c>
      <c r="C211" s="94" t="s">
        <v>465</v>
      </c>
      <c r="D211" s="94" t="s">
        <v>256</v>
      </c>
      <c r="E211" s="96">
        <v>32758</v>
      </c>
      <c r="F211" s="97">
        <f ca="1">DATEDIF(E211,TODAY(),"Y")</f>
        <v>27</v>
      </c>
      <c r="G211" s="98" t="s">
        <v>283</v>
      </c>
      <c r="H211" s="99">
        <v>23330</v>
      </c>
      <c r="I211" s="100">
        <v>4</v>
      </c>
    </row>
    <row r="212" spans="1:9" ht="13.5" x14ac:dyDescent="0.25">
      <c r="A212" s="94" t="s">
        <v>465</v>
      </c>
      <c r="B212" s="95" t="s">
        <v>271</v>
      </c>
      <c r="C212" s="94" t="s">
        <v>465</v>
      </c>
      <c r="D212" s="94" t="s">
        <v>247</v>
      </c>
      <c r="E212" s="96">
        <v>32839</v>
      </c>
      <c r="F212" s="97">
        <f ca="1">DATEDIF(E212,TODAY(),"Y")</f>
        <v>26</v>
      </c>
      <c r="G212" s="98"/>
      <c r="H212" s="99">
        <v>45770</v>
      </c>
      <c r="I212" s="100">
        <v>5</v>
      </c>
    </row>
    <row r="213" spans="1:9" ht="13.5" x14ac:dyDescent="0.25">
      <c r="A213" s="94" t="s">
        <v>465</v>
      </c>
      <c r="B213" s="95" t="s">
        <v>271</v>
      </c>
      <c r="C213" s="94" t="s">
        <v>465</v>
      </c>
      <c r="D213" s="94" t="s">
        <v>256</v>
      </c>
      <c r="E213" s="96">
        <v>32841</v>
      </c>
      <c r="F213" s="97">
        <f ca="1">DATEDIF(E213,TODAY(),"Y")</f>
        <v>26</v>
      </c>
      <c r="G213" s="98" t="s">
        <v>283</v>
      </c>
      <c r="H213" s="99">
        <v>81980</v>
      </c>
      <c r="I213" s="100">
        <v>2</v>
      </c>
    </row>
    <row r="214" spans="1:9" ht="13.5" x14ac:dyDescent="0.25">
      <c r="A214" s="94" t="s">
        <v>465</v>
      </c>
      <c r="B214" s="95" t="s">
        <v>245</v>
      </c>
      <c r="C214" s="94" t="s">
        <v>465</v>
      </c>
      <c r="D214" s="94" t="s">
        <v>261</v>
      </c>
      <c r="E214" s="96">
        <v>32853</v>
      </c>
      <c r="F214" s="97">
        <f ca="1">DATEDIF(E214,TODAY(),"Y")</f>
        <v>26</v>
      </c>
      <c r="G214" s="98" t="s">
        <v>262</v>
      </c>
      <c r="H214" s="99">
        <v>18895</v>
      </c>
      <c r="I214" s="100">
        <v>4</v>
      </c>
    </row>
    <row r="215" spans="1:9" ht="13.5" x14ac:dyDescent="0.25">
      <c r="A215" s="94" t="s">
        <v>465</v>
      </c>
      <c r="B215" s="95" t="s">
        <v>280</v>
      </c>
      <c r="C215" s="94" t="s">
        <v>465</v>
      </c>
      <c r="D215" s="94" t="s">
        <v>252</v>
      </c>
      <c r="E215" s="96">
        <v>32855</v>
      </c>
      <c r="F215" s="97">
        <f ca="1">DATEDIF(E215,TODAY(),"Y")</f>
        <v>26</v>
      </c>
      <c r="G215" s="98"/>
      <c r="H215" s="99">
        <v>30416</v>
      </c>
      <c r="I215" s="100">
        <v>1</v>
      </c>
    </row>
    <row r="216" spans="1:9" ht="13.5" x14ac:dyDescent="0.25">
      <c r="A216" s="94" t="s">
        <v>465</v>
      </c>
      <c r="B216" s="95" t="s">
        <v>280</v>
      </c>
      <c r="C216" s="94" t="s">
        <v>465</v>
      </c>
      <c r="D216" s="94" t="s">
        <v>247</v>
      </c>
      <c r="E216" s="96">
        <v>32955</v>
      </c>
      <c r="F216" s="97">
        <f ca="1">DATEDIF(E216,TODAY(),"Y")</f>
        <v>26</v>
      </c>
      <c r="G216" s="98"/>
      <c r="H216" s="99">
        <v>35460</v>
      </c>
      <c r="I216" s="100">
        <v>3</v>
      </c>
    </row>
    <row r="217" spans="1:9" ht="13.5" x14ac:dyDescent="0.25">
      <c r="A217" s="94" t="s">
        <v>465</v>
      </c>
      <c r="B217" s="95" t="s">
        <v>271</v>
      </c>
      <c r="C217" s="94" t="s">
        <v>465</v>
      </c>
      <c r="D217" s="94" t="s">
        <v>256</v>
      </c>
      <c r="E217" s="96">
        <v>33094</v>
      </c>
      <c r="F217" s="97">
        <f ca="1">DATEDIF(E217,TODAY(),"Y")</f>
        <v>26</v>
      </c>
      <c r="G217" s="98" t="s">
        <v>283</v>
      </c>
      <c r="H217" s="99">
        <v>24710</v>
      </c>
      <c r="I217" s="100">
        <v>2</v>
      </c>
    </row>
    <row r="218" spans="1:9" ht="13.5" x14ac:dyDescent="0.25">
      <c r="A218" s="94" t="s">
        <v>465</v>
      </c>
      <c r="B218" s="95" t="s">
        <v>271</v>
      </c>
      <c r="C218" s="94" t="s">
        <v>465</v>
      </c>
      <c r="D218" s="94" t="s">
        <v>247</v>
      </c>
      <c r="E218" s="96">
        <v>33115</v>
      </c>
      <c r="F218" s="97">
        <f ca="1">DATEDIF(E218,TODAY(),"Y")</f>
        <v>26</v>
      </c>
      <c r="G218" s="98"/>
      <c r="H218" s="99">
        <v>63310</v>
      </c>
      <c r="I218" s="100">
        <v>3</v>
      </c>
    </row>
    <row r="219" spans="1:9" ht="13.5" x14ac:dyDescent="0.25">
      <c r="A219" s="94" t="s">
        <v>465</v>
      </c>
      <c r="B219" s="95" t="s">
        <v>251</v>
      </c>
      <c r="C219" s="94" t="s">
        <v>465</v>
      </c>
      <c r="D219" s="94" t="s">
        <v>256</v>
      </c>
      <c r="E219" s="96">
        <v>33173</v>
      </c>
      <c r="F219" s="97">
        <f ca="1">DATEDIF(E219,TODAY(),"Y")</f>
        <v>26</v>
      </c>
      <c r="G219" s="98" t="s">
        <v>257</v>
      </c>
      <c r="H219" s="99">
        <v>81010</v>
      </c>
      <c r="I219" s="100">
        <v>4</v>
      </c>
    </row>
    <row r="220" spans="1:9" ht="13.5" x14ac:dyDescent="0.25">
      <c r="A220" s="94" t="s">
        <v>465</v>
      </c>
      <c r="B220" s="95" t="s">
        <v>245</v>
      </c>
      <c r="C220" s="94" t="s">
        <v>465</v>
      </c>
      <c r="D220" s="94" t="s">
        <v>256</v>
      </c>
      <c r="E220" s="96">
        <v>33231</v>
      </c>
      <c r="F220" s="97">
        <f ca="1">DATEDIF(E220,TODAY(),"Y")</f>
        <v>25</v>
      </c>
      <c r="G220" s="98" t="s">
        <v>276</v>
      </c>
      <c r="H220" s="99">
        <v>34480</v>
      </c>
      <c r="I220" s="100">
        <v>3</v>
      </c>
    </row>
    <row r="221" spans="1:9" ht="13.5" x14ac:dyDescent="0.25">
      <c r="A221" s="94" t="s">
        <v>465</v>
      </c>
      <c r="B221" s="95" t="s">
        <v>251</v>
      </c>
      <c r="C221" s="94" t="s">
        <v>465</v>
      </c>
      <c r="D221" s="94" t="s">
        <v>261</v>
      </c>
      <c r="E221" s="96">
        <v>33273</v>
      </c>
      <c r="F221" s="97">
        <f ca="1">DATEDIF(E221,TODAY(),"Y")</f>
        <v>25</v>
      </c>
      <c r="G221" s="98" t="s">
        <v>262</v>
      </c>
      <c r="H221" s="99">
        <v>15260</v>
      </c>
      <c r="I221" s="100">
        <v>2</v>
      </c>
    </row>
    <row r="222" spans="1:9" ht="13.5" x14ac:dyDescent="0.25">
      <c r="A222" s="94" t="s">
        <v>465</v>
      </c>
      <c r="B222" s="95" t="s">
        <v>266</v>
      </c>
      <c r="C222" s="94" t="s">
        <v>465</v>
      </c>
      <c r="D222" s="94" t="s">
        <v>247</v>
      </c>
      <c r="E222" s="96">
        <v>33361</v>
      </c>
      <c r="F222" s="97">
        <f ca="1">DATEDIF(E222,TODAY(),"Y")</f>
        <v>25</v>
      </c>
      <c r="G222" s="98"/>
      <c r="H222" s="99">
        <v>80690</v>
      </c>
      <c r="I222" s="100">
        <v>3</v>
      </c>
    </row>
    <row r="223" spans="1:9" ht="13.5" x14ac:dyDescent="0.25">
      <c r="A223" s="94" t="s">
        <v>465</v>
      </c>
      <c r="B223" s="95" t="s">
        <v>251</v>
      </c>
      <c r="C223" s="94" t="s">
        <v>465</v>
      </c>
      <c r="D223" s="94" t="s">
        <v>256</v>
      </c>
      <c r="E223" s="96">
        <v>33475</v>
      </c>
      <c r="F223" s="97">
        <f ca="1">DATEDIF(E223,TODAY(),"Y")</f>
        <v>25</v>
      </c>
      <c r="G223" s="98" t="s">
        <v>257</v>
      </c>
      <c r="H223" s="99">
        <v>24300</v>
      </c>
      <c r="I223" s="100">
        <v>3</v>
      </c>
    </row>
    <row r="224" spans="1:9" ht="13.5" x14ac:dyDescent="0.25">
      <c r="A224" s="94" t="s">
        <v>465</v>
      </c>
      <c r="B224" s="95" t="s">
        <v>285</v>
      </c>
      <c r="C224" s="94" t="s">
        <v>465</v>
      </c>
      <c r="D224" s="94" t="s">
        <v>256</v>
      </c>
      <c r="E224" s="96">
        <v>33571</v>
      </c>
      <c r="F224" s="97">
        <f ca="1">DATEDIF(E224,TODAY(),"Y")</f>
        <v>24</v>
      </c>
      <c r="G224" s="98" t="s">
        <v>262</v>
      </c>
      <c r="H224" s="99">
        <v>63070</v>
      </c>
      <c r="I224" s="100">
        <v>1</v>
      </c>
    </row>
    <row r="225" spans="1:9" ht="13.5" x14ac:dyDescent="0.25">
      <c r="A225" s="94" t="s">
        <v>465</v>
      </c>
      <c r="B225" s="95" t="s">
        <v>285</v>
      </c>
      <c r="C225" s="94" t="s">
        <v>465</v>
      </c>
      <c r="D225" s="94" t="s">
        <v>256</v>
      </c>
      <c r="E225" s="96">
        <v>33661</v>
      </c>
      <c r="F225" s="97">
        <f ca="1">DATEDIF(E225,TODAY(),"Y")</f>
        <v>24</v>
      </c>
      <c r="G225" s="98" t="s">
        <v>283</v>
      </c>
      <c r="H225" s="99">
        <v>67050</v>
      </c>
      <c r="I225" s="100">
        <v>4</v>
      </c>
    </row>
    <row r="226" spans="1:9" ht="13.5" x14ac:dyDescent="0.25">
      <c r="A226" s="94" t="s">
        <v>465</v>
      </c>
      <c r="B226" s="95" t="s">
        <v>245</v>
      </c>
      <c r="C226" s="94" t="s">
        <v>465</v>
      </c>
      <c r="D226" s="94" t="s">
        <v>256</v>
      </c>
      <c r="E226" s="96">
        <v>33710</v>
      </c>
      <c r="F226" s="97">
        <f ca="1">DATEDIF(E226,TODAY(),"Y")</f>
        <v>24</v>
      </c>
      <c r="G226" s="98" t="s">
        <v>262</v>
      </c>
      <c r="H226" s="99">
        <v>38940</v>
      </c>
      <c r="I226" s="100">
        <v>2</v>
      </c>
    </row>
    <row r="227" spans="1:9" ht="13.5" x14ac:dyDescent="0.25">
      <c r="A227" s="94" t="s">
        <v>465</v>
      </c>
      <c r="B227" s="95" t="s">
        <v>285</v>
      </c>
      <c r="C227" s="94" t="s">
        <v>465</v>
      </c>
      <c r="D227" s="94" t="s">
        <v>256</v>
      </c>
      <c r="E227" s="96">
        <v>33714</v>
      </c>
      <c r="F227" s="97">
        <f ca="1">DATEDIF(E227,TODAY(),"Y")</f>
        <v>24</v>
      </c>
      <c r="G227" s="98" t="s">
        <v>283</v>
      </c>
      <c r="H227" s="99">
        <v>73072</v>
      </c>
      <c r="I227" s="100">
        <v>5</v>
      </c>
    </row>
    <row r="228" spans="1:9" ht="13.5" x14ac:dyDescent="0.25">
      <c r="A228" s="94" t="s">
        <v>465</v>
      </c>
      <c r="B228" s="95" t="s">
        <v>271</v>
      </c>
      <c r="C228" s="94" t="s">
        <v>465</v>
      </c>
      <c r="D228" s="94" t="s">
        <v>256</v>
      </c>
      <c r="E228" s="96">
        <v>33846</v>
      </c>
      <c r="F228" s="97">
        <f ca="1">DATEDIF(E228,TODAY(),"Y")</f>
        <v>24</v>
      </c>
      <c r="G228" s="98" t="s">
        <v>283</v>
      </c>
      <c r="H228" s="99">
        <v>86260</v>
      </c>
      <c r="I228" s="100">
        <v>3</v>
      </c>
    </row>
    <row r="229" spans="1:9" ht="13.5" x14ac:dyDescent="0.25">
      <c r="A229" s="94" t="s">
        <v>465</v>
      </c>
      <c r="B229" s="95" t="s">
        <v>285</v>
      </c>
      <c r="C229" s="94" t="s">
        <v>465</v>
      </c>
      <c r="D229" s="94" t="s">
        <v>247</v>
      </c>
      <c r="E229" s="96">
        <v>33875</v>
      </c>
      <c r="F229" s="97">
        <f ca="1">DATEDIF(E229,TODAY(),"Y")</f>
        <v>24</v>
      </c>
      <c r="G229" s="98"/>
      <c r="H229" s="99">
        <v>24410</v>
      </c>
      <c r="I229" s="100">
        <v>3</v>
      </c>
    </row>
    <row r="230" spans="1:9" ht="13.5" x14ac:dyDescent="0.25">
      <c r="A230" s="94" t="s">
        <v>465</v>
      </c>
      <c r="B230" s="95" t="s">
        <v>271</v>
      </c>
      <c r="C230" s="94" t="s">
        <v>465</v>
      </c>
      <c r="D230" s="94" t="s">
        <v>256</v>
      </c>
      <c r="E230" s="96">
        <v>33878</v>
      </c>
      <c r="F230" s="97">
        <f ca="1">DATEDIF(E230,TODAY(),"Y")</f>
        <v>24</v>
      </c>
      <c r="G230" s="98" t="s">
        <v>283</v>
      </c>
      <c r="H230" s="99">
        <v>44270</v>
      </c>
      <c r="I230" s="100">
        <v>2</v>
      </c>
    </row>
    <row r="231" spans="1:9" ht="13.5" x14ac:dyDescent="0.25">
      <c r="A231" s="94" t="s">
        <v>465</v>
      </c>
      <c r="B231" s="95" t="s">
        <v>285</v>
      </c>
      <c r="C231" s="94" t="s">
        <v>465</v>
      </c>
      <c r="D231" s="94" t="s">
        <v>261</v>
      </c>
      <c r="E231" s="96">
        <v>33879</v>
      </c>
      <c r="F231" s="97">
        <f ca="1">DATEDIF(E231,TODAY(),"Y")</f>
        <v>24</v>
      </c>
      <c r="G231" s="98" t="s">
        <v>257</v>
      </c>
      <c r="H231" s="99">
        <v>46285</v>
      </c>
      <c r="I231" s="100">
        <v>5</v>
      </c>
    </row>
    <row r="232" spans="1:9" ht="13.5" x14ac:dyDescent="0.25">
      <c r="A232" s="94" t="s">
        <v>465</v>
      </c>
      <c r="B232" s="95" t="s">
        <v>285</v>
      </c>
      <c r="C232" s="94" t="s">
        <v>465</v>
      </c>
      <c r="D232" s="94" t="s">
        <v>256</v>
      </c>
      <c r="E232" s="96">
        <v>33889</v>
      </c>
      <c r="F232" s="97">
        <f ca="1">DATEDIF(E232,TODAY(),"Y")</f>
        <v>24</v>
      </c>
      <c r="G232" s="98" t="s">
        <v>257</v>
      </c>
      <c r="H232" s="99">
        <v>73450</v>
      </c>
      <c r="I232" s="100">
        <v>3</v>
      </c>
    </row>
    <row r="233" spans="1:9" ht="13.5" x14ac:dyDescent="0.25">
      <c r="A233" s="94" t="s">
        <v>465</v>
      </c>
      <c r="B233" s="95" t="s">
        <v>251</v>
      </c>
      <c r="C233" s="94" t="s">
        <v>465</v>
      </c>
      <c r="D233" s="94" t="s">
        <v>256</v>
      </c>
      <c r="E233" s="96">
        <v>34001</v>
      </c>
      <c r="F233" s="97">
        <f ca="1">DATEDIF(E233,TODAY(),"Y")</f>
        <v>23</v>
      </c>
      <c r="G233" s="98" t="s">
        <v>267</v>
      </c>
      <c r="H233" s="99">
        <v>39520</v>
      </c>
      <c r="I233" s="100">
        <v>5</v>
      </c>
    </row>
    <row r="234" spans="1:9" ht="13.5" x14ac:dyDescent="0.25">
      <c r="A234" s="94" t="s">
        <v>465</v>
      </c>
      <c r="B234" s="95" t="s">
        <v>251</v>
      </c>
      <c r="C234" s="94" t="s">
        <v>465</v>
      </c>
      <c r="D234" s="94" t="s">
        <v>261</v>
      </c>
      <c r="E234" s="96">
        <v>34033</v>
      </c>
      <c r="F234" s="97">
        <f ca="1">DATEDIF(E234,TODAY(),"Y")</f>
        <v>23</v>
      </c>
      <c r="G234" s="98" t="s">
        <v>257</v>
      </c>
      <c r="H234" s="99">
        <v>46645</v>
      </c>
      <c r="I234" s="100">
        <v>5</v>
      </c>
    </row>
    <row r="235" spans="1:9" ht="13.5" x14ac:dyDescent="0.25">
      <c r="A235" s="94" t="s">
        <v>465</v>
      </c>
      <c r="B235" s="95" t="s">
        <v>271</v>
      </c>
      <c r="C235" s="94" t="s">
        <v>465</v>
      </c>
      <c r="D235" s="94" t="s">
        <v>247</v>
      </c>
      <c r="E235" s="96">
        <v>34039</v>
      </c>
      <c r="F235" s="97">
        <f ca="1">DATEDIF(E235,TODAY(),"Y")</f>
        <v>23</v>
      </c>
      <c r="G235" s="98"/>
      <c r="H235" s="99">
        <v>52940</v>
      </c>
      <c r="I235" s="100">
        <v>4</v>
      </c>
    </row>
    <row r="236" spans="1:9" ht="13.5" x14ac:dyDescent="0.25">
      <c r="A236" s="94" t="s">
        <v>465</v>
      </c>
      <c r="B236" s="95" t="s">
        <v>271</v>
      </c>
      <c r="C236" s="94" t="s">
        <v>465</v>
      </c>
      <c r="D236" s="94" t="s">
        <v>256</v>
      </c>
      <c r="E236" s="96">
        <v>34046</v>
      </c>
      <c r="F236" s="97">
        <f ca="1">DATEDIF(E236,TODAY(),"Y")</f>
        <v>23</v>
      </c>
      <c r="G236" s="98" t="s">
        <v>262</v>
      </c>
      <c r="H236" s="99">
        <v>45480</v>
      </c>
      <c r="I236" s="100">
        <v>4</v>
      </c>
    </row>
    <row r="237" spans="1:9" ht="13.5" x14ac:dyDescent="0.25">
      <c r="A237" s="94" t="s">
        <v>465</v>
      </c>
      <c r="B237" s="95" t="s">
        <v>266</v>
      </c>
      <c r="C237" s="94" t="s">
        <v>465</v>
      </c>
      <c r="D237" s="94" t="s">
        <v>247</v>
      </c>
      <c r="E237" s="96">
        <v>34050</v>
      </c>
      <c r="F237" s="97">
        <f ca="1">DATEDIF(E237,TODAY(),"Y")</f>
        <v>23</v>
      </c>
      <c r="G237" s="98"/>
      <c r="H237" s="99">
        <v>28260</v>
      </c>
      <c r="I237" s="100">
        <v>5</v>
      </c>
    </row>
    <row r="238" spans="1:9" ht="13.5" x14ac:dyDescent="0.25">
      <c r="A238" s="94" t="s">
        <v>465</v>
      </c>
      <c r="B238" s="95" t="s">
        <v>266</v>
      </c>
      <c r="C238" s="94" t="s">
        <v>465</v>
      </c>
      <c r="D238" s="94" t="s">
        <v>256</v>
      </c>
      <c r="E238" s="96">
        <v>34051</v>
      </c>
      <c r="F238" s="97">
        <f ca="1">DATEDIF(E238,TODAY(),"Y")</f>
        <v>23</v>
      </c>
      <c r="G238" s="98" t="s">
        <v>257</v>
      </c>
      <c r="H238" s="99">
        <v>59320</v>
      </c>
      <c r="I238" s="100">
        <v>4</v>
      </c>
    </row>
    <row r="239" spans="1:9" ht="13.5" x14ac:dyDescent="0.25">
      <c r="A239" s="94" t="s">
        <v>465</v>
      </c>
      <c r="B239" s="95" t="s">
        <v>271</v>
      </c>
      <c r="C239" s="94" t="s">
        <v>465</v>
      </c>
      <c r="D239" s="94" t="s">
        <v>247</v>
      </c>
      <c r="E239" s="96">
        <v>34069</v>
      </c>
      <c r="F239" s="97">
        <f ca="1">DATEDIF(E239,TODAY(),"Y")</f>
        <v>23</v>
      </c>
      <c r="G239" s="98"/>
      <c r="H239" s="99">
        <v>66010</v>
      </c>
      <c r="I239" s="100">
        <v>2</v>
      </c>
    </row>
    <row r="240" spans="1:9" ht="13.5" x14ac:dyDescent="0.25">
      <c r="A240" s="94" t="s">
        <v>465</v>
      </c>
      <c r="B240" s="95" t="s">
        <v>271</v>
      </c>
      <c r="C240" s="94" t="s">
        <v>465</v>
      </c>
      <c r="D240" s="94" t="s">
        <v>247</v>
      </c>
      <c r="E240" s="96">
        <v>34141</v>
      </c>
      <c r="F240" s="97">
        <f ca="1">DATEDIF(E240,TODAY(),"Y")</f>
        <v>23</v>
      </c>
      <c r="G240" s="98"/>
      <c r="H240" s="99">
        <v>42150</v>
      </c>
      <c r="I240" s="100">
        <v>5</v>
      </c>
    </row>
    <row r="241" spans="1:9" ht="13.5" x14ac:dyDescent="0.25">
      <c r="A241" s="94" t="s">
        <v>465</v>
      </c>
      <c r="B241" s="95" t="s">
        <v>245</v>
      </c>
      <c r="C241" s="94" t="s">
        <v>465</v>
      </c>
      <c r="D241" s="94" t="s">
        <v>252</v>
      </c>
      <c r="E241" s="96">
        <v>34180</v>
      </c>
      <c r="F241" s="97">
        <f ca="1">DATEDIF(E241,TODAY(),"Y")</f>
        <v>23</v>
      </c>
      <c r="G241" s="98"/>
      <c r="H241" s="99">
        <v>22472</v>
      </c>
      <c r="I241" s="100">
        <v>1</v>
      </c>
    </row>
    <row r="242" spans="1:9" ht="13.5" x14ac:dyDescent="0.25">
      <c r="A242" s="94" t="s">
        <v>465</v>
      </c>
      <c r="B242" s="95" t="s">
        <v>245</v>
      </c>
      <c r="C242" s="94" t="s">
        <v>465</v>
      </c>
      <c r="D242" s="94" t="s">
        <v>256</v>
      </c>
      <c r="E242" s="96">
        <v>34201</v>
      </c>
      <c r="F242" s="97">
        <f ca="1">DATEDIF(E242,TODAY(),"Y")</f>
        <v>23</v>
      </c>
      <c r="G242" s="98" t="s">
        <v>283</v>
      </c>
      <c r="H242" s="99">
        <v>73144</v>
      </c>
      <c r="I242" s="100">
        <v>5</v>
      </c>
    </row>
    <row r="243" spans="1:9" ht="13.5" x14ac:dyDescent="0.25">
      <c r="A243" s="94" t="s">
        <v>465</v>
      </c>
      <c r="B243" s="95" t="s">
        <v>271</v>
      </c>
      <c r="C243" s="94" t="s">
        <v>465</v>
      </c>
      <c r="D243" s="94" t="s">
        <v>256</v>
      </c>
      <c r="E243" s="96">
        <v>34210</v>
      </c>
      <c r="F243" s="97">
        <f ca="1">DATEDIF(E243,TODAY(),"Y")</f>
        <v>23</v>
      </c>
      <c r="G243" s="98" t="s">
        <v>257</v>
      </c>
      <c r="H243" s="99">
        <v>79730</v>
      </c>
      <c r="I243" s="100">
        <v>2</v>
      </c>
    </row>
    <row r="244" spans="1:9" ht="13.5" x14ac:dyDescent="0.25">
      <c r="A244" s="94" t="s">
        <v>465</v>
      </c>
      <c r="B244" s="95" t="s">
        <v>285</v>
      </c>
      <c r="C244" s="94" t="s">
        <v>465</v>
      </c>
      <c r="D244" s="94" t="s">
        <v>256</v>
      </c>
      <c r="E244" s="96">
        <v>34216</v>
      </c>
      <c r="F244" s="97">
        <f ca="1">DATEDIF(E244,TODAY(),"Y")</f>
        <v>23</v>
      </c>
      <c r="G244" s="98" t="s">
        <v>283</v>
      </c>
      <c r="H244" s="99">
        <v>32390</v>
      </c>
      <c r="I244" s="100">
        <v>2</v>
      </c>
    </row>
    <row r="245" spans="1:9" ht="13.5" x14ac:dyDescent="0.25">
      <c r="A245" s="94" t="s">
        <v>465</v>
      </c>
      <c r="B245" s="95" t="s">
        <v>280</v>
      </c>
      <c r="C245" s="94" t="s">
        <v>465</v>
      </c>
      <c r="D245" s="94" t="s">
        <v>256</v>
      </c>
      <c r="E245" s="96">
        <v>34219</v>
      </c>
      <c r="F245" s="97">
        <f ca="1">DATEDIF(E245,TODAY(),"Y")</f>
        <v>23</v>
      </c>
      <c r="G245" s="98" t="s">
        <v>267</v>
      </c>
      <c r="H245" s="99">
        <v>44920</v>
      </c>
      <c r="I245" s="100">
        <v>1</v>
      </c>
    </row>
    <row r="246" spans="1:9" ht="13.5" x14ac:dyDescent="0.25">
      <c r="A246" s="94" t="s">
        <v>465</v>
      </c>
      <c r="B246" s="95" t="s">
        <v>271</v>
      </c>
      <c r="C246" s="94" t="s">
        <v>465</v>
      </c>
      <c r="D246" s="94" t="s">
        <v>256</v>
      </c>
      <c r="E246" s="96">
        <v>34279</v>
      </c>
      <c r="F246" s="97">
        <f ca="1">DATEDIF(E246,TODAY(),"Y")</f>
        <v>23</v>
      </c>
      <c r="G246" s="98" t="s">
        <v>257</v>
      </c>
      <c r="H246" s="99">
        <v>60280</v>
      </c>
      <c r="I246" s="100">
        <v>1</v>
      </c>
    </row>
    <row r="247" spans="1:9" ht="13.5" x14ac:dyDescent="0.25">
      <c r="A247" s="94" t="s">
        <v>465</v>
      </c>
      <c r="B247" s="95" t="s">
        <v>251</v>
      </c>
      <c r="C247" s="94" t="s">
        <v>465</v>
      </c>
      <c r="D247" s="94" t="s">
        <v>256</v>
      </c>
      <c r="E247" s="96">
        <v>34281</v>
      </c>
      <c r="F247" s="97">
        <f ca="1">DATEDIF(E247,TODAY(),"Y")</f>
        <v>23</v>
      </c>
      <c r="G247" s="98" t="s">
        <v>283</v>
      </c>
      <c r="H247" s="99">
        <v>61150</v>
      </c>
      <c r="I247" s="100">
        <v>2</v>
      </c>
    </row>
    <row r="248" spans="1:9" ht="13.5" x14ac:dyDescent="0.25">
      <c r="A248" s="94" t="s">
        <v>465</v>
      </c>
      <c r="B248" s="95" t="s">
        <v>271</v>
      </c>
      <c r="C248" s="94" t="s">
        <v>465</v>
      </c>
      <c r="D248" s="94" t="s">
        <v>256</v>
      </c>
      <c r="E248" s="96">
        <v>34385</v>
      </c>
      <c r="F248" s="97">
        <f ca="1">DATEDIF(E248,TODAY(),"Y")</f>
        <v>22</v>
      </c>
      <c r="G248" s="98" t="s">
        <v>257</v>
      </c>
      <c r="H248" s="99">
        <v>60100</v>
      </c>
      <c r="I248" s="100">
        <v>1</v>
      </c>
    </row>
    <row r="249" spans="1:9" ht="13.5" x14ac:dyDescent="0.25">
      <c r="A249" s="94" t="s">
        <v>465</v>
      </c>
      <c r="B249" s="95" t="s">
        <v>285</v>
      </c>
      <c r="C249" s="94" t="s">
        <v>465</v>
      </c>
      <c r="D249" s="94" t="s">
        <v>256</v>
      </c>
      <c r="E249" s="96">
        <v>34393</v>
      </c>
      <c r="F249" s="97">
        <f ca="1">DATEDIF(E249,TODAY(),"Y")</f>
        <v>22</v>
      </c>
      <c r="G249" s="98" t="s">
        <v>262</v>
      </c>
      <c r="H249" s="99">
        <v>66430</v>
      </c>
      <c r="I249" s="100">
        <v>2</v>
      </c>
    </row>
    <row r="250" spans="1:9" ht="13.5" x14ac:dyDescent="0.25">
      <c r="A250" s="94" t="s">
        <v>465</v>
      </c>
      <c r="B250" s="95" t="s">
        <v>245</v>
      </c>
      <c r="C250" s="94" t="s">
        <v>465</v>
      </c>
      <c r="D250" s="94" t="s">
        <v>256</v>
      </c>
      <c r="E250" s="96">
        <v>34404</v>
      </c>
      <c r="F250" s="97">
        <f ca="1">DATEDIF(E250,TODAY(),"Y")</f>
        <v>22</v>
      </c>
      <c r="G250" s="98" t="s">
        <v>262</v>
      </c>
      <c r="H250" s="99">
        <v>70020</v>
      </c>
      <c r="I250" s="100">
        <v>3</v>
      </c>
    </row>
    <row r="251" spans="1:9" ht="13.5" x14ac:dyDescent="0.25">
      <c r="A251" s="94" t="s">
        <v>465</v>
      </c>
      <c r="B251" s="95" t="s">
        <v>251</v>
      </c>
      <c r="C251" s="94" t="s">
        <v>465</v>
      </c>
      <c r="D251" s="94" t="s">
        <v>256</v>
      </c>
      <c r="E251" s="96">
        <v>34491</v>
      </c>
      <c r="F251" s="97">
        <f ca="1">DATEDIF(E251,TODAY(),"Y")</f>
        <v>22</v>
      </c>
      <c r="G251" s="98" t="s">
        <v>257</v>
      </c>
      <c r="H251" s="99">
        <v>78570</v>
      </c>
      <c r="I251" s="100">
        <v>1</v>
      </c>
    </row>
    <row r="252" spans="1:9" ht="13.5" x14ac:dyDescent="0.25">
      <c r="A252" s="94" t="s">
        <v>465</v>
      </c>
      <c r="B252" s="95" t="s">
        <v>251</v>
      </c>
      <c r="C252" s="94" t="s">
        <v>465</v>
      </c>
      <c r="D252" s="94" t="s">
        <v>261</v>
      </c>
      <c r="E252" s="96">
        <v>34497</v>
      </c>
      <c r="F252" s="97">
        <f ca="1">DATEDIF(E252,TODAY(),"Y")</f>
        <v>22</v>
      </c>
      <c r="G252" s="98" t="s">
        <v>257</v>
      </c>
      <c r="H252" s="99">
        <v>48835</v>
      </c>
      <c r="I252" s="100">
        <v>5</v>
      </c>
    </row>
    <row r="253" spans="1:9" ht="13.5" x14ac:dyDescent="0.25">
      <c r="A253" s="94" t="s">
        <v>465</v>
      </c>
      <c r="B253" s="95" t="s">
        <v>245</v>
      </c>
      <c r="C253" s="94" t="s">
        <v>465</v>
      </c>
      <c r="D253" s="94" t="s">
        <v>252</v>
      </c>
      <c r="E253" s="96">
        <v>34519</v>
      </c>
      <c r="F253" s="97">
        <f ca="1">DATEDIF(E253,TODAY(),"Y")</f>
        <v>22</v>
      </c>
      <c r="G253" s="98"/>
      <c r="H253" s="99">
        <v>29176</v>
      </c>
      <c r="I253" s="100">
        <v>3</v>
      </c>
    </row>
    <row r="254" spans="1:9" ht="13.5" x14ac:dyDescent="0.25">
      <c r="A254" s="94" t="s">
        <v>465</v>
      </c>
      <c r="B254" s="95" t="s">
        <v>266</v>
      </c>
      <c r="C254" s="94" t="s">
        <v>465</v>
      </c>
      <c r="D254" s="94" t="s">
        <v>256</v>
      </c>
      <c r="E254" s="96">
        <v>34520</v>
      </c>
      <c r="F254" s="97">
        <f ca="1">DATEDIF(E254,TODAY(),"Y")</f>
        <v>22</v>
      </c>
      <c r="G254" s="98" t="s">
        <v>267</v>
      </c>
      <c r="H254" s="99">
        <v>35460</v>
      </c>
      <c r="I254" s="100">
        <v>5</v>
      </c>
    </row>
    <row r="255" spans="1:9" ht="13.5" x14ac:dyDescent="0.25">
      <c r="A255" s="94" t="s">
        <v>465</v>
      </c>
      <c r="B255" s="95" t="s">
        <v>251</v>
      </c>
      <c r="C255" s="94" t="s">
        <v>465</v>
      </c>
      <c r="D255" s="94" t="s">
        <v>247</v>
      </c>
      <c r="E255" s="96">
        <v>34617</v>
      </c>
      <c r="F255" s="97">
        <f ca="1">DATEDIF(E255,TODAY(),"Y")</f>
        <v>22</v>
      </c>
      <c r="G255" s="98"/>
      <c r="H255" s="99">
        <v>76910</v>
      </c>
      <c r="I255" s="100">
        <v>1</v>
      </c>
    </row>
    <row r="256" spans="1:9" ht="13.5" x14ac:dyDescent="0.25">
      <c r="A256" s="94" t="s">
        <v>465</v>
      </c>
      <c r="B256" s="95" t="s">
        <v>285</v>
      </c>
      <c r="C256" s="94" t="s">
        <v>465</v>
      </c>
      <c r="D256" s="94" t="s">
        <v>256</v>
      </c>
      <c r="E256" s="96">
        <v>34622</v>
      </c>
      <c r="F256" s="97">
        <f ca="1">DATEDIF(E256,TODAY(),"Y")</f>
        <v>22</v>
      </c>
      <c r="G256" s="98" t="s">
        <v>283</v>
      </c>
      <c r="H256" s="99">
        <v>89740</v>
      </c>
      <c r="I256" s="100">
        <v>5</v>
      </c>
    </row>
    <row r="257" spans="1:9" ht="13.5" x14ac:dyDescent="0.25">
      <c r="A257" s="94" t="s">
        <v>465</v>
      </c>
      <c r="B257" s="95" t="s">
        <v>245</v>
      </c>
      <c r="C257" s="94" t="s">
        <v>465</v>
      </c>
      <c r="D257" s="94" t="s">
        <v>256</v>
      </c>
      <c r="E257" s="96">
        <v>34628</v>
      </c>
      <c r="F257" s="97">
        <f ca="1">DATEDIF(E257,TODAY(),"Y")</f>
        <v>22</v>
      </c>
      <c r="G257" s="98" t="s">
        <v>267</v>
      </c>
      <c r="H257" s="99">
        <v>55450</v>
      </c>
      <c r="I257" s="100">
        <v>5</v>
      </c>
    </row>
    <row r="258" spans="1:9" ht="13.5" x14ac:dyDescent="0.25">
      <c r="A258" s="94" t="s">
        <v>465</v>
      </c>
      <c r="B258" s="95" t="s">
        <v>285</v>
      </c>
      <c r="C258" s="94" t="s">
        <v>465</v>
      </c>
      <c r="D258" s="94" t="s">
        <v>247</v>
      </c>
      <c r="E258" s="96">
        <v>34662</v>
      </c>
      <c r="F258" s="97">
        <f ca="1">DATEDIF(E258,TODAY(),"Y")</f>
        <v>21</v>
      </c>
      <c r="G258" s="98"/>
      <c r="H258" s="99">
        <v>71710</v>
      </c>
      <c r="I258" s="100">
        <v>5</v>
      </c>
    </row>
    <row r="259" spans="1:9" ht="13.5" x14ac:dyDescent="0.25">
      <c r="A259" s="94" t="s">
        <v>465</v>
      </c>
      <c r="B259" s="95" t="s">
        <v>285</v>
      </c>
      <c r="C259" s="94" t="s">
        <v>465</v>
      </c>
      <c r="D259" s="94" t="s">
        <v>252</v>
      </c>
      <c r="E259" s="96">
        <v>34672</v>
      </c>
      <c r="F259" s="97">
        <f ca="1">DATEDIF(E259,TODAY(),"Y")</f>
        <v>21</v>
      </c>
      <c r="G259" s="98"/>
      <c r="H259" s="99">
        <v>8904</v>
      </c>
      <c r="I259" s="100">
        <v>3</v>
      </c>
    </row>
    <row r="260" spans="1:9" ht="13.5" x14ac:dyDescent="0.25">
      <c r="A260" s="94" t="s">
        <v>465</v>
      </c>
      <c r="B260" s="95" t="s">
        <v>271</v>
      </c>
      <c r="C260" s="94" t="s">
        <v>465</v>
      </c>
      <c r="D260" s="94" t="s">
        <v>247</v>
      </c>
      <c r="E260" s="96">
        <v>34682</v>
      </c>
      <c r="F260" s="97">
        <f ca="1">DATEDIF(E260,TODAY(),"Y")</f>
        <v>21</v>
      </c>
      <c r="G260" s="98"/>
      <c r="H260" s="99">
        <v>68260</v>
      </c>
      <c r="I260" s="100">
        <v>5</v>
      </c>
    </row>
    <row r="261" spans="1:9" ht="13.5" x14ac:dyDescent="0.25">
      <c r="A261" s="94" t="s">
        <v>465</v>
      </c>
      <c r="B261" s="95" t="s">
        <v>271</v>
      </c>
      <c r="C261" s="94" t="s">
        <v>465</v>
      </c>
      <c r="D261" s="94" t="s">
        <v>256</v>
      </c>
      <c r="E261" s="96">
        <v>34686</v>
      </c>
      <c r="F261" s="97">
        <f ca="1">DATEDIF(E261,TODAY(),"Y")</f>
        <v>21</v>
      </c>
      <c r="G261" s="98" t="s">
        <v>257</v>
      </c>
      <c r="H261" s="99">
        <v>40340</v>
      </c>
      <c r="I261" s="100">
        <v>2</v>
      </c>
    </row>
    <row r="262" spans="1:9" ht="13.5" x14ac:dyDescent="0.25">
      <c r="A262" s="94" t="s">
        <v>465</v>
      </c>
      <c r="B262" s="95" t="s">
        <v>285</v>
      </c>
      <c r="C262" s="94" t="s">
        <v>465</v>
      </c>
      <c r="D262" s="94" t="s">
        <v>247</v>
      </c>
      <c r="E262" s="96">
        <v>34687</v>
      </c>
      <c r="F262" s="97">
        <f ca="1">DATEDIF(E262,TODAY(),"Y")</f>
        <v>21</v>
      </c>
      <c r="G262" s="98"/>
      <c r="H262" s="99">
        <v>72520</v>
      </c>
      <c r="I262" s="100">
        <v>3</v>
      </c>
    </row>
    <row r="263" spans="1:9" ht="13.5" x14ac:dyDescent="0.25">
      <c r="A263" s="94" t="s">
        <v>465</v>
      </c>
      <c r="B263" s="95" t="s">
        <v>271</v>
      </c>
      <c r="C263" s="94" t="s">
        <v>465</v>
      </c>
      <c r="D263" s="94" t="s">
        <v>256</v>
      </c>
      <c r="E263" s="96">
        <v>34699</v>
      </c>
      <c r="F263" s="97">
        <f ca="1">DATEDIF(E263,TODAY(),"Y")</f>
        <v>21</v>
      </c>
      <c r="G263" s="98" t="s">
        <v>257</v>
      </c>
      <c r="H263" s="99">
        <v>75120</v>
      </c>
      <c r="I263" s="100">
        <v>5</v>
      </c>
    </row>
    <row r="264" spans="1:9" ht="13.5" x14ac:dyDescent="0.25">
      <c r="A264" s="94" t="s">
        <v>465</v>
      </c>
      <c r="B264" s="95" t="s">
        <v>280</v>
      </c>
      <c r="C264" s="94" t="s">
        <v>465</v>
      </c>
      <c r="D264" s="94" t="s">
        <v>247</v>
      </c>
      <c r="E264" s="96">
        <v>34701</v>
      </c>
      <c r="F264" s="97">
        <f ca="1">DATEDIF(E264,TODAY(),"Y")</f>
        <v>21</v>
      </c>
      <c r="G264" s="98"/>
      <c r="H264" s="99">
        <v>45050</v>
      </c>
      <c r="I264" s="100">
        <v>1</v>
      </c>
    </row>
    <row r="265" spans="1:9" ht="13.5" x14ac:dyDescent="0.25">
      <c r="A265" s="94" t="s">
        <v>465</v>
      </c>
      <c r="B265" s="95" t="s">
        <v>280</v>
      </c>
      <c r="C265" s="94" t="s">
        <v>465</v>
      </c>
      <c r="D265" s="94" t="s">
        <v>252</v>
      </c>
      <c r="E265" s="96">
        <v>34757</v>
      </c>
      <c r="F265" s="97">
        <f ca="1">DATEDIF(E265,TODAY(),"Y")</f>
        <v>21</v>
      </c>
      <c r="G265" s="98"/>
      <c r="H265" s="99">
        <v>37612</v>
      </c>
      <c r="I265" s="100">
        <v>4</v>
      </c>
    </row>
    <row r="266" spans="1:9" ht="13.5" x14ac:dyDescent="0.25">
      <c r="A266" s="94" t="s">
        <v>465</v>
      </c>
      <c r="B266" s="95" t="s">
        <v>280</v>
      </c>
      <c r="C266" s="94" t="s">
        <v>465</v>
      </c>
      <c r="D266" s="94" t="s">
        <v>252</v>
      </c>
      <c r="E266" s="96">
        <v>34757</v>
      </c>
      <c r="F266" s="97">
        <f ca="1">DATEDIF(E266,TODAY(),"Y")</f>
        <v>21</v>
      </c>
      <c r="G266" s="98"/>
      <c r="H266" s="99">
        <v>37612</v>
      </c>
      <c r="I266" s="100">
        <v>4</v>
      </c>
    </row>
    <row r="267" spans="1:9" ht="13.5" x14ac:dyDescent="0.25">
      <c r="A267" s="94" t="s">
        <v>465</v>
      </c>
      <c r="B267" s="95" t="s">
        <v>280</v>
      </c>
      <c r="C267" s="94" t="s">
        <v>465</v>
      </c>
      <c r="D267" s="94" t="s">
        <v>256</v>
      </c>
      <c r="E267" s="96">
        <v>34774</v>
      </c>
      <c r="F267" s="97">
        <f ca="1">DATEDIF(E267,TODAY(),"Y")</f>
        <v>21</v>
      </c>
      <c r="G267" s="98" t="s">
        <v>257</v>
      </c>
      <c r="H267" s="99">
        <v>33210</v>
      </c>
      <c r="I267" s="100">
        <v>4</v>
      </c>
    </row>
    <row r="268" spans="1:9" ht="13.5" x14ac:dyDescent="0.25">
      <c r="A268" s="94" t="s">
        <v>465</v>
      </c>
      <c r="B268" s="95" t="s">
        <v>271</v>
      </c>
      <c r="C268" s="94" t="s">
        <v>465</v>
      </c>
      <c r="D268" s="94" t="s">
        <v>256</v>
      </c>
      <c r="E268" s="96">
        <v>34791</v>
      </c>
      <c r="F268" s="97">
        <f ca="1">DATEDIF(E268,TODAY(),"Y")</f>
        <v>21</v>
      </c>
      <c r="G268" s="98" t="s">
        <v>257</v>
      </c>
      <c r="H268" s="99">
        <v>88240</v>
      </c>
      <c r="I268" s="100">
        <v>5</v>
      </c>
    </row>
    <row r="269" spans="1:9" ht="13.5" x14ac:dyDescent="0.25">
      <c r="A269" s="94" t="s">
        <v>465</v>
      </c>
      <c r="B269" s="95" t="s">
        <v>245</v>
      </c>
      <c r="C269" s="94" t="s">
        <v>465</v>
      </c>
      <c r="D269" s="94" t="s">
        <v>256</v>
      </c>
      <c r="E269" s="96">
        <v>34812</v>
      </c>
      <c r="F269" s="97">
        <f ca="1">DATEDIF(E269,TODAY(),"Y")</f>
        <v>21</v>
      </c>
      <c r="G269" s="98" t="s">
        <v>262</v>
      </c>
      <c r="H269" s="99">
        <v>22660</v>
      </c>
      <c r="I269" s="100">
        <v>2</v>
      </c>
    </row>
    <row r="270" spans="1:9" ht="13.5" x14ac:dyDescent="0.25">
      <c r="A270" s="94" t="s">
        <v>465</v>
      </c>
      <c r="B270" s="95" t="s">
        <v>271</v>
      </c>
      <c r="C270" s="94" t="s">
        <v>465</v>
      </c>
      <c r="D270" s="94" t="s">
        <v>261</v>
      </c>
      <c r="E270" s="96">
        <v>34867</v>
      </c>
      <c r="F270" s="97">
        <f ca="1">DATEDIF(E270,TODAY(),"Y")</f>
        <v>21</v>
      </c>
      <c r="G270" s="98" t="s">
        <v>267</v>
      </c>
      <c r="H270" s="99">
        <v>21670</v>
      </c>
      <c r="I270" s="100">
        <v>2</v>
      </c>
    </row>
    <row r="271" spans="1:9" ht="13.5" x14ac:dyDescent="0.25">
      <c r="A271" s="94" t="s">
        <v>465</v>
      </c>
      <c r="B271" s="95" t="s">
        <v>251</v>
      </c>
      <c r="C271" s="94" t="s">
        <v>465</v>
      </c>
      <c r="D271" s="94" t="s">
        <v>256</v>
      </c>
      <c r="E271" s="96">
        <v>34888</v>
      </c>
      <c r="F271" s="97">
        <f ca="1">DATEDIF(E271,TODAY(),"Y")</f>
        <v>21</v>
      </c>
      <c r="G271" s="98" t="s">
        <v>276</v>
      </c>
      <c r="H271" s="99">
        <v>81400</v>
      </c>
      <c r="I271" s="100">
        <v>2</v>
      </c>
    </row>
    <row r="272" spans="1:9" ht="13.5" x14ac:dyDescent="0.25">
      <c r="A272" s="94" t="s">
        <v>465</v>
      </c>
      <c r="B272" s="95" t="s">
        <v>271</v>
      </c>
      <c r="C272" s="94" t="s">
        <v>465</v>
      </c>
      <c r="D272" s="94" t="s">
        <v>261</v>
      </c>
      <c r="E272" s="96">
        <v>34959</v>
      </c>
      <c r="F272" s="97">
        <f ca="1">DATEDIF(E272,TODAY(),"Y")</f>
        <v>21</v>
      </c>
      <c r="G272" s="98" t="s">
        <v>283</v>
      </c>
      <c r="H272" s="99">
        <v>48190</v>
      </c>
      <c r="I272" s="100">
        <v>1</v>
      </c>
    </row>
    <row r="273" spans="1:9" ht="13.5" x14ac:dyDescent="0.25">
      <c r="A273" s="94" t="s">
        <v>465</v>
      </c>
      <c r="B273" s="95" t="s">
        <v>271</v>
      </c>
      <c r="C273" s="94" t="s">
        <v>465</v>
      </c>
      <c r="D273" s="94" t="s">
        <v>261</v>
      </c>
      <c r="E273" s="96">
        <v>34959</v>
      </c>
      <c r="F273" s="97">
        <f ca="1">DATEDIF(E273,TODAY(),"Y")</f>
        <v>21</v>
      </c>
      <c r="G273" s="98" t="s">
        <v>283</v>
      </c>
      <c r="H273" s="99">
        <v>48190</v>
      </c>
      <c r="I273" s="100">
        <v>1</v>
      </c>
    </row>
    <row r="274" spans="1:9" ht="13.5" x14ac:dyDescent="0.25">
      <c r="A274" s="94" t="s">
        <v>465</v>
      </c>
      <c r="B274" s="95" t="s">
        <v>271</v>
      </c>
      <c r="C274" s="94" t="s">
        <v>465</v>
      </c>
      <c r="D274" s="94" t="s">
        <v>256</v>
      </c>
      <c r="E274" s="96">
        <v>34963</v>
      </c>
      <c r="F274" s="97">
        <f ca="1">DATEDIF(E274,TODAY(),"Y")</f>
        <v>21</v>
      </c>
      <c r="G274" s="98" t="s">
        <v>283</v>
      </c>
      <c r="H274" s="99">
        <v>61330</v>
      </c>
      <c r="I274" s="100">
        <v>4</v>
      </c>
    </row>
    <row r="275" spans="1:9" ht="13.5" x14ac:dyDescent="0.25">
      <c r="A275" s="94" t="s">
        <v>465</v>
      </c>
      <c r="B275" s="95" t="s">
        <v>280</v>
      </c>
      <c r="C275" s="94" t="s">
        <v>465</v>
      </c>
      <c r="D275" s="94" t="s">
        <v>247</v>
      </c>
      <c r="E275" s="96">
        <v>34973</v>
      </c>
      <c r="F275" s="97">
        <f ca="1">DATEDIF(E275,TODAY(),"Y")</f>
        <v>21</v>
      </c>
      <c r="G275" s="98"/>
      <c r="H275" s="99">
        <v>25130</v>
      </c>
      <c r="I275" s="100">
        <v>5</v>
      </c>
    </row>
    <row r="276" spans="1:9" ht="13.5" x14ac:dyDescent="0.25">
      <c r="A276" s="94" t="s">
        <v>465</v>
      </c>
      <c r="B276" s="95" t="s">
        <v>271</v>
      </c>
      <c r="C276" s="94" t="s">
        <v>465</v>
      </c>
      <c r="D276" s="94" t="s">
        <v>252</v>
      </c>
      <c r="E276" s="96">
        <v>34995</v>
      </c>
      <c r="F276" s="97">
        <f ca="1">DATEDIF(E276,TODAY(),"Y")</f>
        <v>21</v>
      </c>
      <c r="G276" s="98"/>
      <c r="H276" s="99">
        <v>9424</v>
      </c>
      <c r="I276" s="100">
        <v>4</v>
      </c>
    </row>
    <row r="277" spans="1:9" ht="13.5" x14ac:dyDescent="0.25">
      <c r="A277" s="94" t="s">
        <v>465</v>
      </c>
      <c r="B277" s="95" t="s">
        <v>285</v>
      </c>
      <c r="C277" s="94" t="s">
        <v>465</v>
      </c>
      <c r="D277" s="94" t="s">
        <v>256</v>
      </c>
      <c r="E277" s="96">
        <v>35008</v>
      </c>
      <c r="F277" s="97">
        <f ca="1">DATEDIF(E277,TODAY(),"Y")</f>
        <v>21</v>
      </c>
      <c r="G277" s="98" t="s">
        <v>283</v>
      </c>
      <c r="H277" s="99">
        <v>68750</v>
      </c>
      <c r="I277" s="100">
        <v>1</v>
      </c>
    </row>
    <row r="278" spans="1:9" ht="13.5" x14ac:dyDescent="0.25">
      <c r="A278" s="94" t="s">
        <v>465</v>
      </c>
      <c r="B278" s="95" t="s">
        <v>285</v>
      </c>
      <c r="C278" s="94" t="s">
        <v>465</v>
      </c>
      <c r="D278" s="94" t="s">
        <v>256</v>
      </c>
      <c r="E278" s="96">
        <v>35022</v>
      </c>
      <c r="F278" s="97">
        <f ca="1">DATEDIF(E278,TODAY(),"Y")</f>
        <v>20</v>
      </c>
      <c r="G278" s="98" t="s">
        <v>267</v>
      </c>
      <c r="H278" s="99">
        <v>37760</v>
      </c>
      <c r="I278" s="100">
        <v>2</v>
      </c>
    </row>
    <row r="279" spans="1:9" ht="13.5" x14ac:dyDescent="0.25">
      <c r="A279" s="94" t="s">
        <v>465</v>
      </c>
      <c r="B279" s="95" t="s">
        <v>266</v>
      </c>
      <c r="C279" s="94" t="s">
        <v>465</v>
      </c>
      <c r="D279" s="94" t="s">
        <v>247</v>
      </c>
      <c r="E279" s="96">
        <v>35040</v>
      </c>
      <c r="F279" s="97">
        <f ca="1">DATEDIF(E279,TODAY(),"Y")</f>
        <v>20</v>
      </c>
      <c r="G279" s="98"/>
      <c r="H279" s="99">
        <v>27380</v>
      </c>
      <c r="I279" s="100">
        <v>3</v>
      </c>
    </row>
    <row r="280" spans="1:9" ht="13.5" x14ac:dyDescent="0.25">
      <c r="A280" s="94" t="s">
        <v>465</v>
      </c>
      <c r="B280" s="95" t="s">
        <v>285</v>
      </c>
      <c r="C280" s="94" t="s">
        <v>465</v>
      </c>
      <c r="D280" s="94" t="s">
        <v>261</v>
      </c>
      <c r="E280" s="96">
        <v>35050</v>
      </c>
      <c r="F280" s="97">
        <f ca="1">DATEDIF(E280,TODAY(),"Y")</f>
        <v>20</v>
      </c>
      <c r="G280" s="98" t="s">
        <v>283</v>
      </c>
      <c r="H280" s="99">
        <v>11065</v>
      </c>
      <c r="I280" s="100">
        <v>1</v>
      </c>
    </row>
    <row r="281" spans="1:9" ht="13.5" x14ac:dyDescent="0.25">
      <c r="A281" s="94" t="s">
        <v>465</v>
      </c>
      <c r="B281" s="95" t="s">
        <v>280</v>
      </c>
      <c r="C281" s="94" t="s">
        <v>465</v>
      </c>
      <c r="D281" s="94" t="s">
        <v>256</v>
      </c>
      <c r="E281" s="96">
        <v>35103</v>
      </c>
      <c r="F281" s="97">
        <f ca="1">DATEDIF(E281,TODAY(),"Y")</f>
        <v>20</v>
      </c>
      <c r="G281" s="98" t="s">
        <v>257</v>
      </c>
      <c r="H281" s="99">
        <v>40060</v>
      </c>
      <c r="I281" s="100">
        <v>3</v>
      </c>
    </row>
    <row r="282" spans="1:9" ht="13.5" x14ac:dyDescent="0.25">
      <c r="A282" s="94" t="s">
        <v>465</v>
      </c>
      <c r="B282" s="95" t="s">
        <v>285</v>
      </c>
      <c r="C282" s="94" t="s">
        <v>465</v>
      </c>
      <c r="D282" s="94" t="s">
        <v>261</v>
      </c>
      <c r="E282" s="96">
        <v>35112</v>
      </c>
      <c r="F282" s="97">
        <f ca="1">DATEDIF(E282,TODAY(),"Y")</f>
        <v>20</v>
      </c>
      <c r="G282" s="98" t="s">
        <v>283</v>
      </c>
      <c r="H282" s="99">
        <v>17270</v>
      </c>
      <c r="I282" s="100">
        <v>5</v>
      </c>
    </row>
    <row r="283" spans="1:9" ht="13.5" x14ac:dyDescent="0.25">
      <c r="A283" s="94" t="s">
        <v>465</v>
      </c>
      <c r="B283" s="95" t="s">
        <v>285</v>
      </c>
      <c r="C283" s="94" t="s">
        <v>465</v>
      </c>
      <c r="D283" s="94" t="s">
        <v>256</v>
      </c>
      <c r="E283" s="96">
        <v>35121</v>
      </c>
      <c r="F283" s="97">
        <f ca="1">DATEDIF(E283,TODAY(),"Y")</f>
        <v>20</v>
      </c>
      <c r="G283" s="98" t="s">
        <v>257</v>
      </c>
      <c r="H283" s="99">
        <v>35820</v>
      </c>
      <c r="I283" s="100">
        <v>2</v>
      </c>
    </row>
    <row r="284" spans="1:9" ht="13.5" x14ac:dyDescent="0.25">
      <c r="A284" s="94" t="s">
        <v>465</v>
      </c>
      <c r="B284" s="95" t="s">
        <v>245</v>
      </c>
      <c r="C284" s="94" t="s">
        <v>465</v>
      </c>
      <c r="D284" s="94" t="s">
        <v>256</v>
      </c>
      <c r="E284" s="96">
        <v>35134</v>
      </c>
      <c r="F284" s="97">
        <f ca="1">DATEDIF(E284,TODAY(),"Y")</f>
        <v>20</v>
      </c>
      <c r="G284" s="98" t="s">
        <v>257</v>
      </c>
      <c r="H284" s="99">
        <v>67280</v>
      </c>
      <c r="I284" s="100">
        <v>3</v>
      </c>
    </row>
    <row r="285" spans="1:9" ht="13.5" x14ac:dyDescent="0.25">
      <c r="A285" s="94" t="s">
        <v>465</v>
      </c>
      <c r="B285" s="95" t="s">
        <v>271</v>
      </c>
      <c r="C285" s="94" t="s">
        <v>465</v>
      </c>
      <c r="D285" s="94" t="s">
        <v>247</v>
      </c>
      <c r="E285" s="96">
        <v>35145</v>
      </c>
      <c r="F285" s="97">
        <f ca="1">DATEDIF(E285,TODAY(),"Y")</f>
        <v>20</v>
      </c>
      <c r="G285" s="98"/>
      <c r="H285" s="99">
        <v>23810</v>
      </c>
      <c r="I285" s="100">
        <v>4</v>
      </c>
    </row>
    <row r="286" spans="1:9" ht="13.5" x14ac:dyDescent="0.25">
      <c r="A286" s="94" t="s">
        <v>465</v>
      </c>
      <c r="B286" s="95" t="s">
        <v>271</v>
      </c>
      <c r="C286" s="94" t="s">
        <v>465</v>
      </c>
      <c r="D286" s="94" t="s">
        <v>261</v>
      </c>
      <c r="E286" s="96">
        <v>35193</v>
      </c>
      <c r="F286" s="97">
        <f ca="1">DATEDIF(E286,TODAY(),"Y")</f>
        <v>20</v>
      </c>
      <c r="G286" s="98" t="s">
        <v>267</v>
      </c>
      <c r="H286" s="99">
        <v>41615</v>
      </c>
      <c r="I286" s="100">
        <v>1</v>
      </c>
    </row>
    <row r="287" spans="1:9" ht="13.5" x14ac:dyDescent="0.25">
      <c r="A287" s="94" t="s">
        <v>465</v>
      </c>
      <c r="B287" s="95" t="s">
        <v>271</v>
      </c>
      <c r="C287" s="94" t="s">
        <v>465</v>
      </c>
      <c r="D287" s="94" t="s">
        <v>256</v>
      </c>
      <c r="E287" s="96">
        <v>35225</v>
      </c>
      <c r="F287" s="97">
        <f ca="1">DATEDIF(E287,TODAY(),"Y")</f>
        <v>20</v>
      </c>
      <c r="G287" s="98" t="s">
        <v>257</v>
      </c>
      <c r="H287" s="99">
        <v>76192</v>
      </c>
      <c r="I287" s="100">
        <v>4</v>
      </c>
    </row>
    <row r="288" spans="1:9" ht="13.5" x14ac:dyDescent="0.25">
      <c r="A288" s="94" t="s">
        <v>465</v>
      </c>
      <c r="B288" s="95" t="s">
        <v>280</v>
      </c>
      <c r="C288" s="94" t="s">
        <v>465</v>
      </c>
      <c r="D288" s="94" t="s">
        <v>247</v>
      </c>
      <c r="E288" s="96">
        <v>35290</v>
      </c>
      <c r="F288" s="97">
        <f ca="1">DATEDIF(E288,TODAY(),"Y")</f>
        <v>20</v>
      </c>
      <c r="G288" s="98"/>
      <c r="H288" s="99">
        <v>41840</v>
      </c>
      <c r="I288" s="100">
        <v>2</v>
      </c>
    </row>
    <row r="289" spans="1:9" ht="13.5" x14ac:dyDescent="0.25">
      <c r="A289" s="94" t="s">
        <v>465</v>
      </c>
      <c r="B289" s="95" t="s">
        <v>285</v>
      </c>
      <c r="C289" s="94" t="s">
        <v>465</v>
      </c>
      <c r="D289" s="94" t="s">
        <v>261</v>
      </c>
      <c r="E289" s="96">
        <v>35294</v>
      </c>
      <c r="F289" s="97">
        <f ca="1">DATEDIF(E289,TODAY(),"Y")</f>
        <v>20</v>
      </c>
      <c r="G289" s="98" t="s">
        <v>283</v>
      </c>
      <c r="H289" s="99">
        <v>46710</v>
      </c>
      <c r="I289" s="100">
        <v>3</v>
      </c>
    </row>
    <row r="290" spans="1:9" ht="13.5" x14ac:dyDescent="0.25">
      <c r="A290" s="94" t="s">
        <v>465</v>
      </c>
      <c r="B290" s="95" t="s">
        <v>271</v>
      </c>
      <c r="C290" s="94" t="s">
        <v>465</v>
      </c>
      <c r="D290" s="94" t="s">
        <v>247</v>
      </c>
      <c r="E290" s="96">
        <v>35327</v>
      </c>
      <c r="F290" s="97">
        <f ca="1">DATEDIF(E290,TODAY(),"Y")</f>
        <v>20</v>
      </c>
      <c r="G290" s="98"/>
      <c r="H290" s="99">
        <v>57600</v>
      </c>
      <c r="I290" s="100">
        <v>3</v>
      </c>
    </row>
    <row r="291" spans="1:9" ht="13.5" x14ac:dyDescent="0.25">
      <c r="A291" s="94" t="s">
        <v>465</v>
      </c>
      <c r="B291" s="95" t="s">
        <v>245</v>
      </c>
      <c r="C291" s="94" t="s">
        <v>465</v>
      </c>
      <c r="D291" s="94" t="s">
        <v>256</v>
      </c>
      <c r="E291" s="96">
        <v>35388</v>
      </c>
      <c r="F291" s="97">
        <f ca="1">DATEDIF(E291,TODAY(),"Y")</f>
        <v>19</v>
      </c>
      <c r="G291" s="98" t="s">
        <v>267</v>
      </c>
      <c r="H291" s="99">
        <v>23650</v>
      </c>
      <c r="I291" s="100">
        <v>1</v>
      </c>
    </row>
    <row r="292" spans="1:9" ht="13.5" x14ac:dyDescent="0.25">
      <c r="A292" s="94" t="s">
        <v>465</v>
      </c>
      <c r="B292" s="95" t="s">
        <v>280</v>
      </c>
      <c r="C292" s="94" t="s">
        <v>465</v>
      </c>
      <c r="D292" s="94" t="s">
        <v>247</v>
      </c>
      <c r="E292" s="96">
        <v>35394</v>
      </c>
      <c r="F292" s="97">
        <f ca="1">DATEDIF(E292,TODAY(),"Y")</f>
        <v>19</v>
      </c>
      <c r="G292" s="98"/>
      <c r="H292" s="99">
        <v>57760</v>
      </c>
      <c r="I292" s="100">
        <v>3</v>
      </c>
    </row>
    <row r="293" spans="1:9" ht="13.5" x14ac:dyDescent="0.25">
      <c r="A293" s="94" t="s">
        <v>465</v>
      </c>
      <c r="B293" s="95" t="s">
        <v>285</v>
      </c>
      <c r="C293" s="94" t="s">
        <v>465</v>
      </c>
      <c r="D293" s="94" t="s">
        <v>256</v>
      </c>
      <c r="E293" s="96">
        <v>35397</v>
      </c>
      <c r="F293" s="97">
        <f ca="1">DATEDIF(E293,TODAY(),"Y")</f>
        <v>19</v>
      </c>
      <c r="G293" s="98" t="s">
        <v>276</v>
      </c>
      <c r="H293" s="99">
        <v>38870</v>
      </c>
      <c r="I293" s="100">
        <v>2</v>
      </c>
    </row>
    <row r="294" spans="1:9" ht="13.5" x14ac:dyDescent="0.25">
      <c r="A294" s="94" t="s">
        <v>465</v>
      </c>
      <c r="B294" s="95" t="s">
        <v>285</v>
      </c>
      <c r="C294" s="94" t="s">
        <v>465</v>
      </c>
      <c r="D294" s="94" t="s">
        <v>247</v>
      </c>
      <c r="E294" s="96">
        <v>35408</v>
      </c>
      <c r="F294" s="97">
        <f ca="1">DATEDIF(E294,TODAY(),"Y")</f>
        <v>19</v>
      </c>
      <c r="G294" s="98"/>
      <c r="H294" s="99">
        <v>89520</v>
      </c>
      <c r="I294" s="100">
        <v>5</v>
      </c>
    </row>
    <row r="295" spans="1:9" ht="13.5" x14ac:dyDescent="0.25">
      <c r="A295" s="94" t="s">
        <v>465</v>
      </c>
      <c r="B295" s="95" t="s">
        <v>285</v>
      </c>
      <c r="C295" s="94" t="s">
        <v>465</v>
      </c>
      <c r="D295" s="94" t="s">
        <v>247</v>
      </c>
      <c r="E295" s="96">
        <v>35419</v>
      </c>
      <c r="F295" s="97">
        <f ca="1">DATEDIF(E295,TODAY(),"Y")</f>
        <v>19</v>
      </c>
      <c r="G295" s="98"/>
      <c r="H295" s="99">
        <v>45420</v>
      </c>
      <c r="I295" s="100">
        <v>1</v>
      </c>
    </row>
    <row r="296" spans="1:9" ht="13.5" x14ac:dyDescent="0.25">
      <c r="A296" s="94" t="s">
        <v>465</v>
      </c>
      <c r="B296" s="95" t="s">
        <v>285</v>
      </c>
      <c r="C296" s="94" t="s">
        <v>465</v>
      </c>
      <c r="D296" s="94" t="s">
        <v>247</v>
      </c>
      <c r="E296" s="96">
        <v>35667</v>
      </c>
      <c r="F296" s="97">
        <f ca="1">DATEDIF(E296,TODAY(),"Y")</f>
        <v>19</v>
      </c>
      <c r="G296" s="98"/>
      <c r="H296" s="99">
        <v>68510</v>
      </c>
      <c r="I296" s="100">
        <v>5</v>
      </c>
    </row>
    <row r="297" spans="1:9" ht="13.5" x14ac:dyDescent="0.25">
      <c r="A297" s="94" t="s">
        <v>465</v>
      </c>
      <c r="B297" s="95" t="s">
        <v>285</v>
      </c>
      <c r="C297" s="94" t="s">
        <v>465</v>
      </c>
      <c r="D297" s="94" t="s">
        <v>256</v>
      </c>
      <c r="E297" s="96">
        <v>35758</v>
      </c>
      <c r="F297" s="97">
        <f ca="1">DATEDIF(E297,TODAY(),"Y")</f>
        <v>18</v>
      </c>
      <c r="G297" s="98" t="s">
        <v>262</v>
      </c>
      <c r="H297" s="99">
        <v>66010</v>
      </c>
      <c r="I297" s="100">
        <v>5</v>
      </c>
    </row>
    <row r="298" spans="1:9" ht="13.5" x14ac:dyDescent="0.25">
      <c r="A298" s="94" t="s">
        <v>465</v>
      </c>
      <c r="B298" s="95" t="s">
        <v>280</v>
      </c>
      <c r="C298" s="94" t="s">
        <v>465</v>
      </c>
      <c r="D298" s="94" t="s">
        <v>256</v>
      </c>
      <c r="E298" s="96">
        <v>35919</v>
      </c>
      <c r="F298" s="97">
        <f ca="1">DATEDIF(E298,TODAY(),"Y")</f>
        <v>18</v>
      </c>
      <c r="G298" s="98" t="s">
        <v>283</v>
      </c>
      <c r="H298" s="99">
        <v>25310</v>
      </c>
      <c r="I298" s="100">
        <v>4</v>
      </c>
    </row>
    <row r="299" spans="1:9" ht="13.5" x14ac:dyDescent="0.25">
      <c r="A299" s="94" t="s">
        <v>465</v>
      </c>
      <c r="B299" s="95" t="s">
        <v>251</v>
      </c>
      <c r="C299" s="94" t="s">
        <v>465</v>
      </c>
      <c r="D299" s="94" t="s">
        <v>247</v>
      </c>
      <c r="E299" s="96">
        <v>36016</v>
      </c>
      <c r="F299" s="97">
        <f ca="1">DATEDIF(E299,TODAY(),"Y")</f>
        <v>18</v>
      </c>
      <c r="G299" s="98"/>
      <c r="H299" s="99">
        <v>52770</v>
      </c>
      <c r="I299" s="100">
        <v>2</v>
      </c>
    </row>
    <row r="300" spans="1:9" ht="13.5" x14ac:dyDescent="0.25">
      <c r="A300" s="94" t="s">
        <v>465</v>
      </c>
      <c r="B300" s="95" t="s">
        <v>271</v>
      </c>
      <c r="C300" s="94" t="s">
        <v>465</v>
      </c>
      <c r="D300" s="94" t="s">
        <v>256</v>
      </c>
      <c r="E300" s="96">
        <v>36021</v>
      </c>
      <c r="F300" s="97">
        <f ca="1">DATEDIF(E300,TODAY(),"Y")</f>
        <v>18</v>
      </c>
      <c r="G300" s="98" t="s">
        <v>283</v>
      </c>
      <c r="H300" s="99">
        <v>62750</v>
      </c>
      <c r="I300" s="100">
        <v>3</v>
      </c>
    </row>
    <row r="301" spans="1:9" ht="13.5" x14ac:dyDescent="0.25">
      <c r="A301" s="94" t="s">
        <v>465</v>
      </c>
      <c r="B301" s="95" t="s">
        <v>285</v>
      </c>
      <c r="C301" s="94" t="s">
        <v>465</v>
      </c>
      <c r="D301" s="94" t="s">
        <v>256</v>
      </c>
      <c r="E301" s="96">
        <v>36084</v>
      </c>
      <c r="F301" s="97">
        <f ca="1">DATEDIF(E301,TODAY(),"Y")</f>
        <v>18</v>
      </c>
      <c r="G301" s="98" t="s">
        <v>257</v>
      </c>
      <c r="H301" s="99">
        <v>28970</v>
      </c>
      <c r="I301" s="100">
        <v>3</v>
      </c>
    </row>
    <row r="302" spans="1:9" ht="13.5" x14ac:dyDescent="0.25">
      <c r="A302" s="94" t="s">
        <v>465</v>
      </c>
      <c r="B302" s="95" t="s">
        <v>271</v>
      </c>
      <c r="C302" s="94" t="s">
        <v>465</v>
      </c>
      <c r="D302" s="94" t="s">
        <v>256</v>
      </c>
      <c r="E302" s="96">
        <v>36126</v>
      </c>
      <c r="F302" s="97">
        <f ca="1">DATEDIF(E302,TODAY(),"Y")</f>
        <v>17</v>
      </c>
      <c r="G302" s="98" t="s">
        <v>267</v>
      </c>
      <c r="H302" s="99">
        <v>64130</v>
      </c>
      <c r="I302" s="100">
        <v>1</v>
      </c>
    </row>
    <row r="303" spans="1:9" ht="13.5" x14ac:dyDescent="0.25">
      <c r="A303" s="94" t="s">
        <v>465</v>
      </c>
      <c r="B303" s="95" t="s">
        <v>271</v>
      </c>
      <c r="C303" s="94" t="s">
        <v>465</v>
      </c>
      <c r="D303" s="94" t="s">
        <v>256</v>
      </c>
      <c r="E303" s="96">
        <v>36199</v>
      </c>
      <c r="F303" s="97">
        <f ca="1">DATEDIF(E303,TODAY(),"Y")</f>
        <v>17</v>
      </c>
      <c r="G303" s="98" t="s">
        <v>283</v>
      </c>
      <c r="H303" s="99">
        <v>69080</v>
      </c>
      <c r="I303" s="100">
        <v>3</v>
      </c>
    </row>
    <row r="304" spans="1:9" ht="13.5" x14ac:dyDescent="0.25">
      <c r="A304" s="94" t="s">
        <v>465</v>
      </c>
      <c r="B304" s="95" t="s">
        <v>245</v>
      </c>
      <c r="C304" s="94" t="s">
        <v>465</v>
      </c>
      <c r="D304" s="94" t="s">
        <v>261</v>
      </c>
      <c r="E304" s="96">
        <v>36310</v>
      </c>
      <c r="F304" s="97">
        <f ca="1">DATEDIF(E304,TODAY(),"Y")</f>
        <v>17</v>
      </c>
      <c r="G304" s="98" t="s">
        <v>257</v>
      </c>
      <c r="H304" s="99">
        <v>24460</v>
      </c>
      <c r="I304" s="100">
        <v>1</v>
      </c>
    </row>
    <row r="305" spans="1:9" ht="13.5" x14ac:dyDescent="0.25">
      <c r="A305" s="94" t="s">
        <v>465</v>
      </c>
      <c r="B305" s="95" t="s">
        <v>285</v>
      </c>
      <c r="C305" s="94" t="s">
        <v>465</v>
      </c>
      <c r="D305" s="94" t="s">
        <v>247</v>
      </c>
      <c r="E305" s="96">
        <v>36324</v>
      </c>
      <c r="F305" s="97">
        <f ca="1">DATEDIF(E305,TODAY(),"Y")</f>
        <v>17</v>
      </c>
      <c r="G305" s="98"/>
      <c r="H305" s="99">
        <v>61370</v>
      </c>
      <c r="I305" s="100">
        <v>3</v>
      </c>
    </row>
    <row r="306" spans="1:9" ht="13.5" x14ac:dyDescent="0.25">
      <c r="A306" s="94" t="s">
        <v>465</v>
      </c>
      <c r="B306" s="95" t="s">
        <v>285</v>
      </c>
      <c r="C306" s="94" t="s">
        <v>465</v>
      </c>
      <c r="D306" s="94" t="s">
        <v>252</v>
      </c>
      <c r="E306" s="96">
        <v>36420</v>
      </c>
      <c r="F306" s="97">
        <f ca="1">DATEDIF(E306,TODAY(),"Y")</f>
        <v>17</v>
      </c>
      <c r="G306" s="98"/>
      <c r="H306" s="99">
        <v>8892</v>
      </c>
      <c r="I306" s="100">
        <v>1</v>
      </c>
    </row>
    <row r="307" spans="1:9" ht="13.5" x14ac:dyDescent="0.25">
      <c r="A307" s="94" t="s">
        <v>465</v>
      </c>
      <c r="B307" s="95" t="s">
        <v>266</v>
      </c>
      <c r="C307" s="94" t="s">
        <v>465</v>
      </c>
      <c r="D307" s="94" t="s">
        <v>247</v>
      </c>
      <c r="E307" s="96">
        <v>36510</v>
      </c>
      <c r="F307" s="97">
        <f ca="1">DATEDIF(E307,TODAY(),"Y")</f>
        <v>16</v>
      </c>
      <c r="G307" s="98"/>
      <c r="H307" s="99">
        <v>75420</v>
      </c>
      <c r="I307" s="100">
        <v>1</v>
      </c>
    </row>
    <row r="308" spans="1:9" ht="13.5" x14ac:dyDescent="0.25">
      <c r="A308" s="94" t="s">
        <v>465</v>
      </c>
      <c r="B308" s="95" t="s">
        <v>285</v>
      </c>
      <c r="C308" s="94" t="s">
        <v>465</v>
      </c>
      <c r="D308" s="94" t="s">
        <v>256</v>
      </c>
      <c r="E308" s="96">
        <v>36556</v>
      </c>
      <c r="F308" s="97">
        <f ca="1">DATEDIF(E308,TODAY(),"Y")</f>
        <v>16</v>
      </c>
      <c r="G308" s="98" t="s">
        <v>262</v>
      </c>
      <c r="H308" s="99">
        <v>54230</v>
      </c>
      <c r="I308" s="100">
        <v>5</v>
      </c>
    </row>
    <row r="309" spans="1:9" ht="13.5" x14ac:dyDescent="0.25">
      <c r="A309" s="94" t="s">
        <v>465</v>
      </c>
      <c r="B309" s="95" t="s">
        <v>266</v>
      </c>
      <c r="C309" s="94" t="s">
        <v>465</v>
      </c>
      <c r="D309" s="94" t="s">
        <v>247</v>
      </c>
      <c r="E309" s="96">
        <v>36589</v>
      </c>
      <c r="F309" s="97">
        <f ca="1">DATEDIF(E309,TODAY(),"Y")</f>
        <v>16</v>
      </c>
      <c r="G309" s="98"/>
      <c r="H309" s="99">
        <v>64220</v>
      </c>
      <c r="I309" s="100">
        <v>5</v>
      </c>
    </row>
    <row r="310" spans="1:9" ht="13.5" x14ac:dyDescent="0.25">
      <c r="A310" s="94" t="s">
        <v>465</v>
      </c>
      <c r="B310" s="95" t="s">
        <v>266</v>
      </c>
      <c r="C310" s="94" t="s">
        <v>465</v>
      </c>
      <c r="D310" s="94" t="s">
        <v>256</v>
      </c>
      <c r="E310" s="96">
        <v>36626</v>
      </c>
      <c r="F310" s="97">
        <f ca="1">DATEDIF(E310,TODAY(),"Y")</f>
        <v>16</v>
      </c>
      <c r="G310" s="98" t="s">
        <v>283</v>
      </c>
      <c r="H310" s="99">
        <v>30920</v>
      </c>
      <c r="I310" s="100">
        <v>5</v>
      </c>
    </row>
    <row r="311" spans="1:9" ht="13.5" x14ac:dyDescent="0.25">
      <c r="A311" s="94" t="s">
        <v>465</v>
      </c>
      <c r="B311" s="95" t="s">
        <v>271</v>
      </c>
      <c r="C311" s="94" t="s">
        <v>465</v>
      </c>
      <c r="D311" s="94" t="s">
        <v>256</v>
      </c>
      <c r="E311" s="96">
        <v>36633</v>
      </c>
      <c r="F311" s="97">
        <f ca="1">DATEDIF(E311,TODAY(),"Y")</f>
        <v>16</v>
      </c>
      <c r="G311" s="98" t="s">
        <v>257</v>
      </c>
      <c r="H311" s="99">
        <v>75176</v>
      </c>
      <c r="I311" s="100">
        <v>3</v>
      </c>
    </row>
    <row r="312" spans="1:9" ht="13.5" x14ac:dyDescent="0.25">
      <c r="A312" s="94" t="s">
        <v>465</v>
      </c>
      <c r="B312" s="95" t="s">
        <v>285</v>
      </c>
      <c r="C312" s="94" t="s">
        <v>465</v>
      </c>
      <c r="D312" s="94" t="s">
        <v>247</v>
      </c>
      <c r="E312" s="96">
        <v>36734</v>
      </c>
      <c r="F312" s="97">
        <f ca="1">DATEDIF(E312,TODAY(),"Y")</f>
        <v>16</v>
      </c>
      <c r="G312" s="98"/>
      <c r="H312" s="99">
        <v>57410</v>
      </c>
      <c r="I312" s="100">
        <v>2</v>
      </c>
    </row>
    <row r="313" spans="1:9" ht="13.5" x14ac:dyDescent="0.25">
      <c r="A313" s="94" t="s">
        <v>465</v>
      </c>
      <c r="B313" s="95" t="s">
        <v>285</v>
      </c>
      <c r="C313" s="94" t="s">
        <v>465</v>
      </c>
      <c r="D313" s="94" t="s">
        <v>247</v>
      </c>
      <c r="E313" s="96">
        <v>36763</v>
      </c>
      <c r="F313" s="97">
        <f ca="1">DATEDIF(E313,TODAY(),"Y")</f>
        <v>16</v>
      </c>
      <c r="G313" s="98"/>
      <c r="H313" s="99">
        <v>39300</v>
      </c>
      <c r="I313" s="100">
        <v>2</v>
      </c>
    </row>
    <row r="314" spans="1:9" ht="13.5" x14ac:dyDescent="0.25">
      <c r="A314" s="94" t="s">
        <v>465</v>
      </c>
      <c r="B314" s="95" t="s">
        <v>245</v>
      </c>
      <c r="C314" s="94" t="s">
        <v>465</v>
      </c>
      <c r="D314" s="94" t="s">
        <v>256</v>
      </c>
      <c r="E314" s="96">
        <v>36836</v>
      </c>
      <c r="F314" s="97">
        <f ca="1">DATEDIF(E314,TODAY(),"Y")</f>
        <v>16</v>
      </c>
      <c r="G314" s="98" t="s">
        <v>257</v>
      </c>
      <c r="H314" s="99">
        <v>47340</v>
      </c>
      <c r="I314" s="100">
        <v>2</v>
      </c>
    </row>
    <row r="315" spans="1:9" ht="13.5" x14ac:dyDescent="0.25">
      <c r="A315" s="94" t="s">
        <v>465</v>
      </c>
      <c r="B315" s="95" t="s">
        <v>245</v>
      </c>
      <c r="C315" s="94" t="s">
        <v>465</v>
      </c>
      <c r="D315" s="94" t="s">
        <v>247</v>
      </c>
      <c r="E315" s="96">
        <v>36979</v>
      </c>
      <c r="F315" s="97">
        <f ca="1">DATEDIF(E315,TODAY(),"Y")</f>
        <v>15</v>
      </c>
      <c r="G315" s="98"/>
      <c r="H315" s="99">
        <v>71830</v>
      </c>
      <c r="I315" s="100">
        <v>3</v>
      </c>
    </row>
    <row r="316" spans="1:9" ht="13.5" x14ac:dyDescent="0.25">
      <c r="A316" s="94" t="s">
        <v>465</v>
      </c>
      <c r="B316" s="95" t="s">
        <v>285</v>
      </c>
      <c r="C316" s="94" t="s">
        <v>465</v>
      </c>
      <c r="D316" s="94" t="s">
        <v>247</v>
      </c>
      <c r="E316" s="96">
        <v>37011</v>
      </c>
      <c r="F316" s="97">
        <f ca="1">DATEDIF(E316,TODAY(),"Y")</f>
        <v>15</v>
      </c>
      <c r="G316" s="98"/>
      <c r="H316" s="99">
        <v>37980</v>
      </c>
      <c r="I316" s="100">
        <v>4</v>
      </c>
    </row>
    <row r="317" spans="1:9" ht="13.5" x14ac:dyDescent="0.25">
      <c r="A317" s="94" t="s">
        <v>465</v>
      </c>
      <c r="B317" s="95" t="s">
        <v>266</v>
      </c>
      <c r="C317" s="94" t="s">
        <v>465</v>
      </c>
      <c r="D317" s="94" t="s">
        <v>256</v>
      </c>
      <c r="E317" s="96">
        <v>37011</v>
      </c>
      <c r="F317" s="97">
        <f ca="1">DATEDIF(E317,TODAY(),"Y")</f>
        <v>15</v>
      </c>
      <c r="G317" s="98" t="s">
        <v>262</v>
      </c>
      <c r="H317" s="99">
        <v>70760</v>
      </c>
      <c r="I317" s="100">
        <v>1</v>
      </c>
    </row>
    <row r="318" spans="1:9" ht="13.5" x14ac:dyDescent="0.25">
      <c r="A318" s="94" t="s">
        <v>465</v>
      </c>
      <c r="B318" s="95" t="s">
        <v>285</v>
      </c>
      <c r="C318" s="94" t="s">
        <v>465</v>
      </c>
      <c r="D318" s="94" t="s">
        <v>256</v>
      </c>
      <c r="E318" s="96">
        <v>37067</v>
      </c>
      <c r="F318" s="97">
        <f ca="1">DATEDIF(E318,TODAY(),"Y")</f>
        <v>15</v>
      </c>
      <c r="G318" s="98" t="s">
        <v>257</v>
      </c>
      <c r="H318" s="99">
        <v>87760</v>
      </c>
      <c r="I318" s="100">
        <v>1</v>
      </c>
    </row>
    <row r="319" spans="1:9" ht="13.5" x14ac:dyDescent="0.25">
      <c r="A319" s="94" t="s">
        <v>465</v>
      </c>
      <c r="B319" s="95" t="s">
        <v>280</v>
      </c>
      <c r="C319" s="94" t="s">
        <v>465</v>
      </c>
      <c r="D319" s="94" t="s">
        <v>256</v>
      </c>
      <c r="E319" s="96">
        <v>37067</v>
      </c>
      <c r="F319" s="97">
        <f ca="1">DATEDIF(E319,TODAY(),"Y")</f>
        <v>15</v>
      </c>
      <c r="G319" s="98" t="s">
        <v>257</v>
      </c>
      <c r="H319" s="99">
        <v>41060</v>
      </c>
      <c r="I319" s="100">
        <v>3</v>
      </c>
    </row>
    <row r="320" spans="1:9" ht="13.5" x14ac:dyDescent="0.25">
      <c r="A320" s="94" t="s">
        <v>465</v>
      </c>
      <c r="B320" s="95" t="s">
        <v>285</v>
      </c>
      <c r="C320" s="94" t="s">
        <v>465</v>
      </c>
      <c r="D320" s="94" t="s">
        <v>247</v>
      </c>
      <c r="E320" s="96">
        <v>37197</v>
      </c>
      <c r="F320" s="97">
        <f ca="1">DATEDIF(E320,TODAY(),"Y")</f>
        <v>15</v>
      </c>
      <c r="G320" s="98"/>
      <c r="H320" s="99">
        <v>40940</v>
      </c>
      <c r="I320" s="100">
        <v>2</v>
      </c>
    </row>
    <row r="321" spans="1:9" ht="13.5" x14ac:dyDescent="0.25">
      <c r="A321" s="94" t="s">
        <v>465</v>
      </c>
      <c r="B321" s="95" t="s">
        <v>245</v>
      </c>
      <c r="C321" s="94" t="s">
        <v>465</v>
      </c>
      <c r="D321" s="94" t="s">
        <v>247</v>
      </c>
      <c r="E321" s="96">
        <v>37227</v>
      </c>
      <c r="F321" s="97">
        <f ca="1">DATEDIF(E321,TODAY(),"Y")</f>
        <v>14</v>
      </c>
      <c r="G321" s="98"/>
      <c r="H321" s="99">
        <v>39680</v>
      </c>
      <c r="I321" s="100">
        <v>1</v>
      </c>
    </row>
    <row r="322" spans="1:9" ht="13.5" x14ac:dyDescent="0.25">
      <c r="A322" s="94" t="s">
        <v>465</v>
      </c>
      <c r="B322" s="95" t="s">
        <v>285</v>
      </c>
      <c r="C322" s="94" t="s">
        <v>465</v>
      </c>
      <c r="D322" s="94" t="s">
        <v>256</v>
      </c>
      <c r="E322" s="96">
        <v>37354</v>
      </c>
      <c r="F322" s="97">
        <f ca="1">DATEDIF(E322,TODAY(),"Y")</f>
        <v>14</v>
      </c>
      <c r="G322" s="98" t="s">
        <v>257</v>
      </c>
      <c r="H322" s="99">
        <v>61060</v>
      </c>
      <c r="I322" s="100">
        <v>5</v>
      </c>
    </row>
    <row r="323" spans="1:9" ht="13.5" x14ac:dyDescent="0.25">
      <c r="A323" s="94" t="s">
        <v>465</v>
      </c>
      <c r="B323" s="95" t="s">
        <v>245</v>
      </c>
      <c r="C323" s="94" t="s">
        <v>465</v>
      </c>
      <c r="D323" s="94" t="s">
        <v>256</v>
      </c>
      <c r="E323" s="96">
        <v>37423</v>
      </c>
      <c r="F323" s="97">
        <f ca="1">DATEDIF(E323,TODAY(),"Y")</f>
        <v>14</v>
      </c>
      <c r="G323" s="98" t="s">
        <v>276</v>
      </c>
      <c r="H323" s="99">
        <v>68710</v>
      </c>
      <c r="I323" s="100">
        <v>4</v>
      </c>
    </row>
    <row r="324" spans="1:9" ht="13.5" x14ac:dyDescent="0.25">
      <c r="A324" s="94" t="s">
        <v>465</v>
      </c>
      <c r="B324" s="95" t="s">
        <v>245</v>
      </c>
      <c r="C324" s="94" t="s">
        <v>465</v>
      </c>
      <c r="D324" s="94" t="s">
        <v>256</v>
      </c>
      <c r="E324" s="96">
        <v>37499</v>
      </c>
      <c r="F324" s="97">
        <f ca="1">DATEDIF(E324,TODAY(),"Y")</f>
        <v>14</v>
      </c>
      <c r="G324" s="98" t="s">
        <v>262</v>
      </c>
      <c r="H324" s="99">
        <v>76584</v>
      </c>
      <c r="I324" s="100">
        <v>1</v>
      </c>
    </row>
    <row r="325" spans="1:9" ht="13.5" x14ac:dyDescent="0.25">
      <c r="A325" s="94" t="s">
        <v>465</v>
      </c>
      <c r="B325" s="95" t="s">
        <v>285</v>
      </c>
      <c r="C325" s="94" t="s">
        <v>465</v>
      </c>
      <c r="D325" s="94" t="s">
        <v>256</v>
      </c>
      <c r="E325" s="96">
        <v>37511</v>
      </c>
      <c r="F325" s="97">
        <f ca="1">DATEDIF(E325,TODAY(),"Y")</f>
        <v>14</v>
      </c>
      <c r="G325" s="98" t="s">
        <v>283</v>
      </c>
      <c r="H325" s="99">
        <v>65720</v>
      </c>
      <c r="I325" s="100">
        <v>1</v>
      </c>
    </row>
    <row r="326" spans="1:9" ht="13.5" x14ac:dyDescent="0.25">
      <c r="A326" s="94" t="s">
        <v>465</v>
      </c>
      <c r="B326" s="95" t="s">
        <v>285</v>
      </c>
      <c r="C326" s="94" t="s">
        <v>465</v>
      </c>
      <c r="D326" s="94" t="s">
        <v>256</v>
      </c>
      <c r="E326" s="96">
        <v>37522</v>
      </c>
      <c r="F326" s="97">
        <f ca="1">DATEDIF(E326,TODAY(),"Y")</f>
        <v>14</v>
      </c>
      <c r="G326" s="98" t="s">
        <v>276</v>
      </c>
      <c r="H326" s="99">
        <v>29420</v>
      </c>
      <c r="I326" s="100">
        <v>5</v>
      </c>
    </row>
    <row r="327" spans="1:9" ht="13.5" x14ac:dyDescent="0.25">
      <c r="A327" s="94" t="s">
        <v>465</v>
      </c>
      <c r="B327" s="95" t="s">
        <v>280</v>
      </c>
      <c r="C327" s="94" t="s">
        <v>465</v>
      </c>
      <c r="D327" s="94" t="s">
        <v>247</v>
      </c>
      <c r="E327" s="96">
        <v>37564</v>
      </c>
      <c r="F327" s="97">
        <f ca="1">DATEDIF(E327,TODAY(),"Y")</f>
        <v>14</v>
      </c>
      <c r="G327" s="98"/>
      <c r="H327" s="99">
        <v>59330</v>
      </c>
      <c r="I327" s="100">
        <v>4</v>
      </c>
    </row>
    <row r="328" spans="1:9" ht="13.5" x14ac:dyDescent="0.25">
      <c r="A328" s="94" t="s">
        <v>465</v>
      </c>
      <c r="B328" s="95" t="s">
        <v>251</v>
      </c>
      <c r="C328" s="94" t="s">
        <v>465</v>
      </c>
      <c r="D328" s="94" t="s">
        <v>247</v>
      </c>
      <c r="E328" s="96">
        <v>37602</v>
      </c>
      <c r="F328" s="97">
        <f ca="1">DATEDIF(E328,TODAY(),"Y")</f>
        <v>13</v>
      </c>
      <c r="G328" s="98"/>
      <c r="H328" s="99">
        <v>80330</v>
      </c>
      <c r="I328" s="100">
        <v>4</v>
      </c>
    </row>
    <row r="329" spans="1:9" ht="13.5" x14ac:dyDescent="0.25">
      <c r="A329" s="94" t="s">
        <v>465</v>
      </c>
      <c r="B329" s="95" t="s">
        <v>245</v>
      </c>
      <c r="C329" s="94" t="s">
        <v>465</v>
      </c>
      <c r="D329" s="94" t="s">
        <v>252</v>
      </c>
      <c r="E329" s="96">
        <v>37777</v>
      </c>
      <c r="F329" s="97">
        <f ca="1">DATEDIF(E329,TODAY(),"Y")</f>
        <v>13</v>
      </c>
      <c r="G329" s="98"/>
      <c r="H329" s="99">
        <v>14416</v>
      </c>
      <c r="I329" s="100">
        <v>4</v>
      </c>
    </row>
    <row r="330" spans="1:9" ht="13.5" x14ac:dyDescent="0.25">
      <c r="A330" s="94" t="s">
        <v>465</v>
      </c>
      <c r="B330" s="95" t="s">
        <v>285</v>
      </c>
      <c r="C330" s="94" t="s">
        <v>465</v>
      </c>
      <c r="D330" s="94" t="s">
        <v>247</v>
      </c>
      <c r="E330" s="96">
        <v>37879</v>
      </c>
      <c r="F330" s="97">
        <f ca="1">DATEDIF(E330,TODAY(),"Y")</f>
        <v>13</v>
      </c>
      <c r="G330" s="98"/>
      <c r="H330" s="99">
        <v>63850</v>
      </c>
      <c r="I330" s="100">
        <v>2</v>
      </c>
    </row>
    <row r="331" spans="1:9" ht="13.5" x14ac:dyDescent="0.25">
      <c r="A331" s="94" t="s">
        <v>465</v>
      </c>
      <c r="B331" s="95" t="s">
        <v>266</v>
      </c>
      <c r="C331" s="94" t="s">
        <v>465</v>
      </c>
      <c r="D331" s="94" t="s">
        <v>256</v>
      </c>
      <c r="E331" s="96">
        <v>38002</v>
      </c>
      <c r="F331" s="97">
        <f ca="1">DATEDIF(E331,TODAY(),"Y")</f>
        <v>12</v>
      </c>
      <c r="G331" s="98" t="s">
        <v>262</v>
      </c>
      <c r="H331" s="99">
        <v>71030</v>
      </c>
      <c r="I331" s="100">
        <v>3</v>
      </c>
    </row>
    <row r="332" spans="1:9" ht="13.5" x14ac:dyDescent="0.25">
      <c r="A332" s="94" t="s">
        <v>465</v>
      </c>
      <c r="B332" s="95" t="s">
        <v>280</v>
      </c>
      <c r="C332" s="94" t="s">
        <v>465</v>
      </c>
      <c r="D332" s="94" t="s">
        <v>256</v>
      </c>
      <c r="E332" s="96">
        <v>38038</v>
      </c>
      <c r="F332" s="97">
        <f ca="1">DATEDIF(E332,TODAY(),"Y")</f>
        <v>12</v>
      </c>
      <c r="G332" s="98" t="s">
        <v>257</v>
      </c>
      <c r="H332" s="99">
        <v>46220</v>
      </c>
      <c r="I332" s="100">
        <v>2</v>
      </c>
    </row>
    <row r="333" spans="1:9" ht="13.5" x14ac:dyDescent="0.25">
      <c r="A333" s="94" t="s">
        <v>465</v>
      </c>
      <c r="B333" s="95" t="s">
        <v>271</v>
      </c>
      <c r="C333" s="94" t="s">
        <v>465</v>
      </c>
      <c r="D333" s="94" t="s">
        <v>256</v>
      </c>
      <c r="E333" s="96">
        <v>38080</v>
      </c>
      <c r="F333" s="97">
        <f ca="1">DATEDIF(E333,TODAY(),"Y")</f>
        <v>12</v>
      </c>
      <c r="G333" s="98" t="s">
        <v>267</v>
      </c>
      <c r="H333" s="99">
        <v>71490</v>
      </c>
      <c r="I333" s="100">
        <v>5</v>
      </c>
    </row>
    <row r="334" spans="1:9" ht="13.5" x14ac:dyDescent="0.25">
      <c r="A334" s="94" t="s">
        <v>465</v>
      </c>
      <c r="B334" s="95" t="s">
        <v>266</v>
      </c>
      <c r="C334" s="94" t="s">
        <v>465</v>
      </c>
      <c r="D334" s="94" t="s">
        <v>256</v>
      </c>
      <c r="E334" s="96">
        <v>38145</v>
      </c>
      <c r="F334" s="97">
        <f ca="1">DATEDIF(E334,TODAY(),"Y")</f>
        <v>12</v>
      </c>
      <c r="G334" s="98" t="s">
        <v>283</v>
      </c>
      <c r="H334" s="99">
        <v>59420</v>
      </c>
      <c r="I334" s="100">
        <v>4</v>
      </c>
    </row>
    <row r="335" spans="1:9" ht="13.5" x14ac:dyDescent="0.25">
      <c r="A335" s="94" t="s">
        <v>465</v>
      </c>
      <c r="B335" s="95" t="s">
        <v>245</v>
      </c>
      <c r="C335" s="94" t="s">
        <v>465</v>
      </c>
      <c r="D335" s="94" t="s">
        <v>247</v>
      </c>
      <c r="E335" s="96">
        <v>38228</v>
      </c>
      <c r="F335" s="97">
        <f ca="1">DATEDIF(E335,TODAY(),"Y")</f>
        <v>12</v>
      </c>
      <c r="G335" s="98"/>
      <c r="H335" s="99">
        <v>62780</v>
      </c>
      <c r="I335" s="100">
        <v>4</v>
      </c>
    </row>
    <row r="336" spans="1:9" ht="13.5" x14ac:dyDescent="0.25">
      <c r="A336" s="94" t="s">
        <v>465</v>
      </c>
      <c r="B336" s="95" t="s">
        <v>271</v>
      </c>
      <c r="C336" s="94" t="s">
        <v>465</v>
      </c>
      <c r="D336" s="94" t="s">
        <v>247</v>
      </c>
      <c r="E336" s="96">
        <v>38235</v>
      </c>
      <c r="F336" s="97">
        <f ca="1">DATEDIF(E336,TODAY(),"Y")</f>
        <v>12</v>
      </c>
      <c r="G336" s="98"/>
      <c r="H336" s="99">
        <v>84170</v>
      </c>
      <c r="I336" s="100">
        <v>2</v>
      </c>
    </row>
    <row r="337" spans="1:9" ht="13.5" x14ac:dyDescent="0.25">
      <c r="A337" s="94" t="s">
        <v>465</v>
      </c>
      <c r="B337" s="95" t="s">
        <v>271</v>
      </c>
      <c r="C337" s="94" t="s">
        <v>465</v>
      </c>
      <c r="D337" s="94" t="s">
        <v>256</v>
      </c>
      <c r="E337" s="96">
        <v>38386</v>
      </c>
      <c r="F337" s="97">
        <f ca="1">DATEDIF(E337,TODAY(),"Y")</f>
        <v>11</v>
      </c>
      <c r="G337" s="98" t="s">
        <v>257</v>
      </c>
      <c r="H337" s="99">
        <v>69320</v>
      </c>
      <c r="I337" s="100">
        <v>3</v>
      </c>
    </row>
    <row r="338" spans="1:9" ht="13.5" x14ac:dyDescent="0.25">
      <c r="A338" s="94" t="s">
        <v>465</v>
      </c>
      <c r="B338" s="95" t="s">
        <v>266</v>
      </c>
      <c r="C338" s="94" t="s">
        <v>465</v>
      </c>
      <c r="D338" s="94" t="s">
        <v>252</v>
      </c>
      <c r="E338" s="96">
        <v>38437</v>
      </c>
      <c r="F338" s="97">
        <f ca="1">DATEDIF(E338,TODAY(),"Y")</f>
        <v>11</v>
      </c>
      <c r="G338" s="98"/>
      <c r="H338" s="99">
        <v>10572</v>
      </c>
      <c r="I338" s="100">
        <v>4</v>
      </c>
    </row>
    <row r="339" spans="1:9" ht="13.5" x14ac:dyDescent="0.25">
      <c r="A339" s="94" t="s">
        <v>465</v>
      </c>
      <c r="B339" s="95" t="s">
        <v>245</v>
      </c>
      <c r="C339" s="94" t="s">
        <v>465</v>
      </c>
      <c r="D339" s="94" t="s">
        <v>247</v>
      </c>
      <c r="E339" s="96">
        <v>38512</v>
      </c>
      <c r="F339" s="97">
        <f ca="1">DATEDIF(E339,TODAY(),"Y")</f>
        <v>11</v>
      </c>
      <c r="G339" s="98"/>
      <c r="H339" s="99">
        <v>60040</v>
      </c>
      <c r="I339" s="100">
        <v>5</v>
      </c>
    </row>
    <row r="340" spans="1:9" ht="13.5" x14ac:dyDescent="0.25">
      <c r="A340" s="94" t="s">
        <v>465</v>
      </c>
      <c r="B340" s="95" t="s">
        <v>245</v>
      </c>
      <c r="C340" s="94" t="s">
        <v>465</v>
      </c>
      <c r="D340" s="94" t="s">
        <v>247</v>
      </c>
      <c r="E340" s="96">
        <v>38520</v>
      </c>
      <c r="F340" s="97">
        <f ca="1">DATEDIF(E340,TODAY(),"Y")</f>
        <v>11</v>
      </c>
      <c r="G340" s="98"/>
      <c r="H340" s="99">
        <v>78520</v>
      </c>
      <c r="I340" s="100">
        <v>4</v>
      </c>
    </row>
    <row r="341" spans="1:9" ht="13.5" x14ac:dyDescent="0.25">
      <c r="A341" s="94" t="s">
        <v>465</v>
      </c>
      <c r="B341" s="95" t="s">
        <v>280</v>
      </c>
      <c r="C341" s="94" t="s">
        <v>465</v>
      </c>
      <c r="D341" s="94" t="s">
        <v>256</v>
      </c>
      <c r="E341" s="96">
        <v>38662</v>
      </c>
      <c r="F341" s="97">
        <f ca="1">DATEDIF(E341,TODAY(),"Y")</f>
        <v>11</v>
      </c>
      <c r="G341" s="98" t="s">
        <v>257</v>
      </c>
      <c r="H341" s="99">
        <v>78170</v>
      </c>
      <c r="I341" s="100">
        <v>5</v>
      </c>
    </row>
    <row r="342" spans="1:9" ht="13.5" x14ac:dyDescent="0.25">
      <c r="A342" s="94" t="s">
        <v>465</v>
      </c>
      <c r="B342" s="95" t="s">
        <v>266</v>
      </c>
      <c r="C342" s="94" t="s">
        <v>465</v>
      </c>
      <c r="D342" s="94" t="s">
        <v>256</v>
      </c>
      <c r="E342" s="96">
        <v>38865</v>
      </c>
      <c r="F342" s="97">
        <f ca="1">DATEDIF(E342,TODAY(),"Y")</f>
        <v>10</v>
      </c>
      <c r="G342" s="98" t="s">
        <v>267</v>
      </c>
      <c r="H342" s="99">
        <v>34690</v>
      </c>
      <c r="I342" s="100">
        <v>2</v>
      </c>
    </row>
    <row r="343" spans="1:9" ht="13.5" x14ac:dyDescent="0.25">
      <c r="A343" s="94" t="s">
        <v>465</v>
      </c>
      <c r="B343" s="95" t="s">
        <v>285</v>
      </c>
      <c r="C343" s="94" t="s">
        <v>465</v>
      </c>
      <c r="D343" s="94" t="s">
        <v>256</v>
      </c>
      <c r="E343" s="96">
        <v>38893</v>
      </c>
      <c r="F343" s="97">
        <f ca="1">DATEDIF(E343,TODAY(),"Y")</f>
        <v>10</v>
      </c>
      <c r="G343" s="98" t="s">
        <v>257</v>
      </c>
      <c r="H343" s="99">
        <v>35600</v>
      </c>
      <c r="I343" s="100">
        <v>5</v>
      </c>
    </row>
    <row r="344" spans="1:9" ht="13.5" x14ac:dyDescent="0.25">
      <c r="A344" s="94" t="s">
        <v>465</v>
      </c>
      <c r="B344" s="95" t="s">
        <v>271</v>
      </c>
      <c r="C344" s="94" t="s">
        <v>465</v>
      </c>
      <c r="D344" s="94" t="s">
        <v>256</v>
      </c>
      <c r="E344" s="96">
        <v>38960</v>
      </c>
      <c r="F344" s="97">
        <f ca="1">DATEDIF(E344,TODAY(),"Y")</f>
        <v>10</v>
      </c>
      <c r="G344" s="98" t="s">
        <v>283</v>
      </c>
      <c r="H344" s="99">
        <v>35300</v>
      </c>
      <c r="I344" s="100">
        <v>5</v>
      </c>
    </row>
    <row r="345" spans="1:9" ht="13.5" x14ac:dyDescent="0.25">
      <c r="A345" s="94" t="s">
        <v>465</v>
      </c>
      <c r="B345" s="95" t="s">
        <v>285</v>
      </c>
      <c r="C345" s="94" t="s">
        <v>465</v>
      </c>
      <c r="D345" s="94" t="s">
        <v>247</v>
      </c>
      <c r="E345" s="102">
        <v>39139</v>
      </c>
      <c r="F345" s="97">
        <f ca="1">DATEDIF(E345,TODAY(),"Y")</f>
        <v>9</v>
      </c>
      <c r="G345" s="98"/>
      <c r="H345" s="99">
        <v>88840</v>
      </c>
      <c r="I345" s="100">
        <v>5</v>
      </c>
    </row>
    <row r="346" spans="1:9" ht="13.5" x14ac:dyDescent="0.25">
      <c r="A346" s="94" t="s">
        <v>465</v>
      </c>
      <c r="B346" s="95" t="s">
        <v>271</v>
      </c>
      <c r="C346" s="94" t="s">
        <v>465</v>
      </c>
      <c r="D346" s="94" t="s">
        <v>247</v>
      </c>
      <c r="E346" s="96">
        <v>39160</v>
      </c>
      <c r="F346" s="97">
        <f ca="1">DATEDIF(E346,TODAY(),"Y")</f>
        <v>9</v>
      </c>
      <c r="G346" s="98"/>
      <c r="H346" s="99">
        <v>37840</v>
      </c>
      <c r="I346" s="100">
        <v>1</v>
      </c>
    </row>
    <row r="347" spans="1:9" ht="13.5" x14ac:dyDescent="0.25">
      <c r="A347" s="94" t="s">
        <v>465</v>
      </c>
      <c r="B347" s="95" t="s">
        <v>271</v>
      </c>
      <c r="C347" s="94" t="s">
        <v>465</v>
      </c>
      <c r="D347" s="94" t="s">
        <v>247</v>
      </c>
      <c r="E347" s="96">
        <v>39160</v>
      </c>
      <c r="F347" s="97">
        <f ca="1">DATEDIF(E347,TODAY(),"Y")</f>
        <v>9</v>
      </c>
      <c r="G347" s="98"/>
      <c r="H347" s="99">
        <v>37840</v>
      </c>
      <c r="I347" s="100">
        <v>1</v>
      </c>
    </row>
    <row r="348" spans="1:9" ht="13.5" x14ac:dyDescent="0.25">
      <c r="A348" s="94" t="s">
        <v>465</v>
      </c>
      <c r="B348" s="95" t="s">
        <v>271</v>
      </c>
      <c r="C348" s="94" t="s">
        <v>465</v>
      </c>
      <c r="D348" s="94" t="s">
        <v>252</v>
      </c>
      <c r="E348" s="96">
        <v>39264</v>
      </c>
      <c r="F348" s="97">
        <f ca="1">DATEDIF(E348,TODAY(),"Y")</f>
        <v>9</v>
      </c>
      <c r="G348" s="98"/>
      <c r="H348" s="99">
        <v>28424</v>
      </c>
      <c r="I348" s="100">
        <v>4</v>
      </c>
    </row>
    <row r="349" spans="1:9" ht="13.5" x14ac:dyDescent="0.25">
      <c r="A349" s="94" t="s">
        <v>465</v>
      </c>
      <c r="B349" s="95" t="s">
        <v>245</v>
      </c>
      <c r="C349" s="94" t="s">
        <v>465</v>
      </c>
      <c r="D349" s="94" t="s">
        <v>256</v>
      </c>
      <c r="E349" s="96">
        <v>39268</v>
      </c>
      <c r="F349" s="97">
        <f ca="1">DATEDIF(E349,TODAY(),"Y")</f>
        <v>9</v>
      </c>
      <c r="G349" s="98" t="s">
        <v>257</v>
      </c>
      <c r="H349" s="99">
        <v>43820</v>
      </c>
      <c r="I349" s="100">
        <v>2</v>
      </c>
    </row>
    <row r="350" spans="1:9" ht="13.5" x14ac:dyDescent="0.25">
      <c r="A350" s="94" t="s">
        <v>465</v>
      </c>
      <c r="B350" s="95" t="s">
        <v>285</v>
      </c>
      <c r="C350" s="94" t="s">
        <v>465</v>
      </c>
      <c r="D350" s="94" t="s">
        <v>256</v>
      </c>
      <c r="E350" s="102">
        <v>39293</v>
      </c>
      <c r="F350" s="97">
        <f ca="1">DATEDIF(E350,TODAY(),"Y")</f>
        <v>9</v>
      </c>
      <c r="G350" s="98" t="s">
        <v>267</v>
      </c>
      <c r="H350" s="99">
        <v>44260</v>
      </c>
      <c r="I350" s="100">
        <v>1</v>
      </c>
    </row>
    <row r="351" spans="1:9" ht="13.5" x14ac:dyDescent="0.25">
      <c r="A351" s="94" t="s">
        <v>465</v>
      </c>
      <c r="B351" s="95" t="s">
        <v>271</v>
      </c>
      <c r="C351" s="94" t="s">
        <v>465</v>
      </c>
      <c r="D351" s="94" t="s">
        <v>256</v>
      </c>
      <c r="E351" s="96">
        <v>39324</v>
      </c>
      <c r="F351" s="97">
        <f ca="1">DATEDIF(E351,TODAY(),"Y")</f>
        <v>9</v>
      </c>
      <c r="G351" s="98" t="s">
        <v>257</v>
      </c>
      <c r="H351" s="99">
        <v>47440</v>
      </c>
      <c r="I351" s="100">
        <v>3</v>
      </c>
    </row>
    <row r="352" spans="1:9" ht="13.5" x14ac:dyDescent="0.25">
      <c r="A352" s="94" t="s">
        <v>465</v>
      </c>
      <c r="B352" s="95" t="s">
        <v>271</v>
      </c>
      <c r="C352" s="94" t="s">
        <v>465</v>
      </c>
      <c r="D352" s="94" t="s">
        <v>247</v>
      </c>
      <c r="E352" s="102">
        <v>39370</v>
      </c>
      <c r="F352" s="97">
        <f ca="1">DATEDIF(E352,TODAY(),"Y")</f>
        <v>9</v>
      </c>
      <c r="G352" s="98"/>
      <c r="H352" s="99">
        <v>57110</v>
      </c>
      <c r="I352" s="100">
        <v>3</v>
      </c>
    </row>
    <row r="353" spans="1:9" ht="13.5" x14ac:dyDescent="0.25">
      <c r="A353" s="101"/>
      <c r="B353" s="95"/>
      <c r="C353" s="101"/>
      <c r="D353" s="94"/>
      <c r="E353" s="102"/>
      <c r="F353" s="97"/>
      <c r="G353" s="98"/>
      <c r="H353" s="99"/>
      <c r="I353" s="100"/>
    </row>
    <row r="354" spans="1:9" ht="13.5" x14ac:dyDescent="0.25">
      <c r="A354" s="94" t="s">
        <v>618</v>
      </c>
      <c r="B354" s="95" t="s">
        <v>280</v>
      </c>
      <c r="C354" s="94" t="s">
        <v>618</v>
      </c>
      <c r="D354" s="94" t="s">
        <v>256</v>
      </c>
      <c r="E354" s="96">
        <v>32522</v>
      </c>
      <c r="F354" s="97">
        <f ca="1">DATEDIF(E354,TODAY(),"Y")</f>
        <v>27</v>
      </c>
      <c r="G354" s="98" t="s">
        <v>257</v>
      </c>
      <c r="H354" s="99">
        <v>39160</v>
      </c>
      <c r="I354" s="100">
        <v>3</v>
      </c>
    </row>
    <row r="355" spans="1:9" ht="13.5" x14ac:dyDescent="0.25">
      <c r="A355" s="94" t="s">
        <v>618</v>
      </c>
      <c r="B355" s="95" t="s">
        <v>245</v>
      </c>
      <c r="C355" s="94" t="s">
        <v>618</v>
      </c>
      <c r="D355" s="94" t="s">
        <v>247</v>
      </c>
      <c r="E355" s="96">
        <v>35455</v>
      </c>
      <c r="F355" s="97">
        <f ca="1">DATEDIF(E355,TODAY(),"Y")</f>
        <v>19</v>
      </c>
      <c r="G355" s="98"/>
      <c r="H355" s="99">
        <v>74500</v>
      </c>
      <c r="I355" s="100">
        <v>4</v>
      </c>
    </row>
    <row r="356" spans="1:9" ht="13.5" x14ac:dyDescent="0.25">
      <c r="A356" s="94" t="s">
        <v>618</v>
      </c>
      <c r="B356" s="95" t="s">
        <v>251</v>
      </c>
      <c r="C356" s="94" t="s">
        <v>618</v>
      </c>
      <c r="D356" s="94" t="s">
        <v>256</v>
      </c>
      <c r="E356" s="96">
        <v>36097</v>
      </c>
      <c r="F356" s="97">
        <f ca="1">DATEDIF(E356,TODAY(),"Y")</f>
        <v>18</v>
      </c>
      <c r="G356" s="98" t="s">
        <v>257</v>
      </c>
      <c r="H356" s="99">
        <v>59140</v>
      </c>
      <c r="I356" s="100">
        <v>5</v>
      </c>
    </row>
    <row r="357" spans="1:9" ht="13.5" x14ac:dyDescent="0.25">
      <c r="A357" s="94" t="s">
        <v>618</v>
      </c>
      <c r="B357" s="95" t="s">
        <v>285</v>
      </c>
      <c r="C357" s="94" t="s">
        <v>618</v>
      </c>
      <c r="D357" s="94" t="s">
        <v>256</v>
      </c>
      <c r="E357" s="96">
        <v>36626</v>
      </c>
      <c r="F357" s="97">
        <f ca="1">DATEDIF(E357,TODAY(),"Y")</f>
        <v>16</v>
      </c>
      <c r="G357" s="98" t="s">
        <v>283</v>
      </c>
      <c r="H357" s="99">
        <v>53870</v>
      </c>
      <c r="I357" s="100">
        <v>2</v>
      </c>
    </row>
    <row r="358" spans="1:9" ht="13.5" x14ac:dyDescent="0.25">
      <c r="A358" s="94" t="s">
        <v>618</v>
      </c>
      <c r="B358" s="95" t="s">
        <v>245</v>
      </c>
      <c r="C358" s="94" t="s">
        <v>618</v>
      </c>
      <c r="D358" s="94" t="s">
        <v>256</v>
      </c>
      <c r="E358" s="96">
        <v>37728</v>
      </c>
      <c r="F358" s="97">
        <f ca="1">DATEDIF(E358,TODAY(),"Y")</f>
        <v>13</v>
      </c>
      <c r="G358" s="98" t="s">
        <v>276</v>
      </c>
      <c r="H358" s="99">
        <v>71400</v>
      </c>
      <c r="I358" s="100">
        <v>4</v>
      </c>
    </row>
    <row r="359" spans="1:9" ht="13.5" x14ac:dyDescent="0.25">
      <c r="A359" s="94" t="s">
        <v>618</v>
      </c>
      <c r="B359" s="95" t="s">
        <v>266</v>
      </c>
      <c r="C359" s="94" t="s">
        <v>618</v>
      </c>
      <c r="D359" s="94" t="s">
        <v>247</v>
      </c>
      <c r="E359" s="102">
        <v>38982</v>
      </c>
      <c r="F359" s="97">
        <f ca="1">DATEDIF(E359,TODAY(),"Y")</f>
        <v>10</v>
      </c>
      <c r="G359" s="98"/>
      <c r="H359" s="99">
        <v>61890</v>
      </c>
      <c r="I359" s="100">
        <v>2</v>
      </c>
    </row>
    <row r="360" spans="1:9" ht="13.5" x14ac:dyDescent="0.25">
      <c r="A360" s="94" t="s">
        <v>618</v>
      </c>
      <c r="B360" s="95" t="s">
        <v>266</v>
      </c>
      <c r="C360" s="94" t="s">
        <v>618</v>
      </c>
      <c r="D360" s="94" t="s">
        <v>256</v>
      </c>
      <c r="E360" s="102">
        <v>39003</v>
      </c>
      <c r="F360" s="97">
        <f ca="1">DATEDIF(E360,TODAY(),"Y")</f>
        <v>10</v>
      </c>
      <c r="G360" s="98" t="s">
        <v>283</v>
      </c>
      <c r="H360" s="99">
        <v>27250</v>
      </c>
      <c r="I360" s="100">
        <v>5</v>
      </c>
    </row>
    <row r="361" spans="1:9" ht="13.5" x14ac:dyDescent="0.25">
      <c r="A361" s="101"/>
      <c r="B361" s="95"/>
      <c r="C361" s="101"/>
      <c r="D361" s="94"/>
      <c r="E361" s="102"/>
      <c r="F361" s="97"/>
      <c r="G361" s="98"/>
      <c r="H361" s="99"/>
      <c r="I361" s="100"/>
    </row>
    <row r="362" spans="1:9" ht="13.5" x14ac:dyDescent="0.25">
      <c r="A362" s="94" t="s">
        <v>626</v>
      </c>
      <c r="B362" s="95" t="s">
        <v>245</v>
      </c>
      <c r="C362" s="94" t="s">
        <v>626</v>
      </c>
      <c r="D362" s="94" t="s">
        <v>256</v>
      </c>
      <c r="E362" s="96">
        <v>31913</v>
      </c>
      <c r="F362" s="97">
        <f ca="1">DATEDIF(E362,TODAY(),"Y")</f>
        <v>29</v>
      </c>
      <c r="G362" s="98" t="s">
        <v>262</v>
      </c>
      <c r="H362" s="99">
        <v>31260</v>
      </c>
      <c r="I362" s="100">
        <v>5</v>
      </c>
    </row>
    <row r="363" spans="1:9" ht="13.5" x14ac:dyDescent="0.25">
      <c r="A363" s="94" t="s">
        <v>626</v>
      </c>
      <c r="B363" s="95" t="s">
        <v>280</v>
      </c>
      <c r="C363" s="94" t="s">
        <v>626</v>
      </c>
      <c r="D363" s="94" t="s">
        <v>256</v>
      </c>
      <c r="E363" s="96">
        <v>31937</v>
      </c>
      <c r="F363" s="97">
        <f ca="1">DATEDIF(E363,TODAY(),"Y")</f>
        <v>29</v>
      </c>
      <c r="G363" s="98" t="s">
        <v>257</v>
      </c>
      <c r="H363" s="99">
        <v>62740</v>
      </c>
      <c r="I363" s="100">
        <v>4</v>
      </c>
    </row>
    <row r="364" spans="1:9" ht="13.5" x14ac:dyDescent="0.25">
      <c r="A364" s="94" t="s">
        <v>626</v>
      </c>
      <c r="B364" s="95" t="s">
        <v>285</v>
      </c>
      <c r="C364" s="94" t="s">
        <v>626</v>
      </c>
      <c r="D364" s="94" t="s">
        <v>252</v>
      </c>
      <c r="E364" s="96">
        <v>31995</v>
      </c>
      <c r="F364" s="97">
        <f ca="1">DATEDIF(E364,TODAY(),"Y")</f>
        <v>29</v>
      </c>
      <c r="G364" s="98"/>
      <c r="H364" s="99">
        <v>36844</v>
      </c>
      <c r="I364" s="100">
        <v>4</v>
      </c>
    </row>
    <row r="365" spans="1:9" ht="13.5" x14ac:dyDescent="0.25">
      <c r="A365" s="94" t="s">
        <v>626</v>
      </c>
      <c r="B365" s="95" t="s">
        <v>271</v>
      </c>
      <c r="C365" s="94" t="s">
        <v>626</v>
      </c>
      <c r="D365" s="94" t="s">
        <v>261</v>
      </c>
      <c r="E365" s="96">
        <v>32009</v>
      </c>
      <c r="F365" s="97">
        <f ca="1">DATEDIF(E365,TODAY(),"Y")</f>
        <v>29</v>
      </c>
      <c r="G365" s="98" t="s">
        <v>267</v>
      </c>
      <c r="H365" s="99">
        <v>13090</v>
      </c>
      <c r="I365" s="100">
        <v>4</v>
      </c>
    </row>
    <row r="366" spans="1:9" ht="13.5" x14ac:dyDescent="0.25">
      <c r="A366" s="94" t="s">
        <v>626</v>
      </c>
      <c r="B366" s="95" t="s">
        <v>251</v>
      </c>
      <c r="C366" s="94" t="s">
        <v>626</v>
      </c>
      <c r="D366" s="94" t="s">
        <v>256</v>
      </c>
      <c r="E366" s="96">
        <v>32097</v>
      </c>
      <c r="F366" s="97">
        <f ca="1">DATEDIF(E366,TODAY(),"Y")</f>
        <v>28</v>
      </c>
      <c r="G366" s="98" t="s">
        <v>257</v>
      </c>
      <c r="H366" s="99">
        <v>22900</v>
      </c>
      <c r="I366" s="100">
        <v>1</v>
      </c>
    </row>
    <row r="367" spans="1:9" ht="13.5" x14ac:dyDescent="0.25">
      <c r="A367" s="94" t="s">
        <v>626</v>
      </c>
      <c r="B367" s="95" t="s">
        <v>285</v>
      </c>
      <c r="C367" s="94" t="s">
        <v>626</v>
      </c>
      <c r="D367" s="94" t="s">
        <v>256</v>
      </c>
      <c r="E367" s="96">
        <v>32296</v>
      </c>
      <c r="F367" s="97">
        <f ca="1">DATEDIF(E367,TODAY(),"Y")</f>
        <v>28</v>
      </c>
      <c r="G367" s="98" t="s">
        <v>262</v>
      </c>
      <c r="H367" s="99">
        <v>87120</v>
      </c>
      <c r="I367" s="100">
        <v>3</v>
      </c>
    </row>
    <row r="368" spans="1:9" ht="13.5" x14ac:dyDescent="0.25">
      <c r="A368" s="94" t="s">
        <v>626</v>
      </c>
      <c r="B368" s="95" t="s">
        <v>285</v>
      </c>
      <c r="C368" s="94" t="s">
        <v>626</v>
      </c>
      <c r="D368" s="94" t="s">
        <v>256</v>
      </c>
      <c r="E368" s="96">
        <v>32385</v>
      </c>
      <c r="F368" s="97">
        <f ca="1">DATEDIF(E368,TODAY(),"Y")</f>
        <v>28</v>
      </c>
      <c r="G368" s="98" t="s">
        <v>262</v>
      </c>
      <c r="H368" s="99">
        <v>60560</v>
      </c>
      <c r="I368" s="100">
        <v>4</v>
      </c>
    </row>
    <row r="369" spans="1:9" ht="13.5" x14ac:dyDescent="0.25">
      <c r="A369" s="94" t="s">
        <v>626</v>
      </c>
      <c r="B369" s="95" t="s">
        <v>245</v>
      </c>
      <c r="C369" s="94" t="s">
        <v>626</v>
      </c>
      <c r="D369" s="94" t="s">
        <v>256</v>
      </c>
      <c r="E369" s="96">
        <v>32392</v>
      </c>
      <c r="F369" s="97">
        <f ca="1">DATEDIF(E369,TODAY(),"Y")</f>
        <v>28</v>
      </c>
      <c r="G369" s="98" t="s">
        <v>257</v>
      </c>
      <c r="H369" s="99">
        <v>37020</v>
      </c>
      <c r="I369" s="100">
        <v>2</v>
      </c>
    </row>
    <row r="370" spans="1:9" ht="13.5" x14ac:dyDescent="0.25">
      <c r="A370" s="94" t="s">
        <v>626</v>
      </c>
      <c r="B370" s="95" t="s">
        <v>251</v>
      </c>
      <c r="C370" s="94" t="s">
        <v>626</v>
      </c>
      <c r="D370" s="94" t="s">
        <v>256</v>
      </c>
      <c r="E370" s="96">
        <v>32455</v>
      </c>
      <c r="F370" s="97">
        <f ca="1">DATEDIF(E370,TODAY(),"Y")</f>
        <v>28</v>
      </c>
      <c r="G370" s="98" t="s">
        <v>262</v>
      </c>
      <c r="H370" s="99">
        <v>73930</v>
      </c>
      <c r="I370" s="100">
        <v>1</v>
      </c>
    </row>
    <row r="371" spans="1:9" ht="13.5" x14ac:dyDescent="0.25">
      <c r="A371" s="94" t="s">
        <v>626</v>
      </c>
      <c r="B371" s="95" t="s">
        <v>285</v>
      </c>
      <c r="C371" s="94" t="s">
        <v>626</v>
      </c>
      <c r="D371" s="94" t="s">
        <v>256</v>
      </c>
      <c r="E371" s="96">
        <v>32724</v>
      </c>
      <c r="F371" s="97">
        <f ca="1">DATEDIF(E371,TODAY(),"Y")</f>
        <v>27</v>
      </c>
      <c r="G371" s="98" t="s">
        <v>267</v>
      </c>
      <c r="H371" s="99">
        <v>45180</v>
      </c>
      <c r="I371" s="100">
        <v>5</v>
      </c>
    </row>
    <row r="372" spans="1:9" ht="13.5" x14ac:dyDescent="0.25">
      <c r="A372" s="94" t="s">
        <v>626</v>
      </c>
      <c r="B372" s="95" t="s">
        <v>266</v>
      </c>
      <c r="C372" s="94" t="s">
        <v>626</v>
      </c>
      <c r="D372" s="94" t="s">
        <v>247</v>
      </c>
      <c r="E372" s="96">
        <v>32744</v>
      </c>
      <c r="F372" s="97">
        <f ca="1">DATEDIF(E372,TODAY(),"Y")</f>
        <v>27</v>
      </c>
      <c r="G372" s="98"/>
      <c r="H372" s="99">
        <v>29000</v>
      </c>
      <c r="I372" s="100">
        <v>5</v>
      </c>
    </row>
    <row r="373" spans="1:9" ht="13.5" x14ac:dyDescent="0.25">
      <c r="A373" s="94" t="s">
        <v>626</v>
      </c>
      <c r="B373" s="95" t="s">
        <v>285</v>
      </c>
      <c r="C373" s="94" t="s">
        <v>626</v>
      </c>
      <c r="D373" s="94" t="s">
        <v>256</v>
      </c>
      <c r="E373" s="96">
        <v>32757</v>
      </c>
      <c r="F373" s="97">
        <f ca="1">DATEDIF(E373,TODAY(),"Y")</f>
        <v>27</v>
      </c>
      <c r="G373" s="98" t="s">
        <v>267</v>
      </c>
      <c r="H373" s="99">
        <v>86540</v>
      </c>
      <c r="I373" s="100">
        <v>4</v>
      </c>
    </row>
    <row r="374" spans="1:9" ht="13.5" x14ac:dyDescent="0.25">
      <c r="A374" s="94" t="s">
        <v>626</v>
      </c>
      <c r="B374" s="95" t="s">
        <v>285</v>
      </c>
      <c r="C374" s="94" t="s">
        <v>626</v>
      </c>
      <c r="D374" s="94" t="s">
        <v>256</v>
      </c>
      <c r="E374" s="96">
        <v>32867</v>
      </c>
      <c r="F374" s="97">
        <f ca="1">DATEDIF(E374,TODAY(),"Y")</f>
        <v>26</v>
      </c>
      <c r="G374" s="98" t="s">
        <v>283</v>
      </c>
      <c r="H374" s="99">
        <v>65250</v>
      </c>
      <c r="I374" s="100">
        <v>2</v>
      </c>
    </row>
    <row r="375" spans="1:9" ht="13.5" x14ac:dyDescent="0.25">
      <c r="A375" s="94" t="s">
        <v>626</v>
      </c>
      <c r="B375" s="95" t="s">
        <v>285</v>
      </c>
      <c r="C375" s="94" t="s">
        <v>626</v>
      </c>
      <c r="D375" s="94" t="s">
        <v>256</v>
      </c>
      <c r="E375" s="96">
        <v>33565</v>
      </c>
      <c r="F375" s="97">
        <f ca="1">DATEDIF(E375,TODAY(),"Y")</f>
        <v>24</v>
      </c>
      <c r="G375" s="98" t="s">
        <v>276</v>
      </c>
      <c r="H375" s="99">
        <v>66920</v>
      </c>
      <c r="I375" s="100">
        <v>2</v>
      </c>
    </row>
    <row r="376" spans="1:9" ht="13.5" x14ac:dyDescent="0.25">
      <c r="A376" s="94" t="s">
        <v>626</v>
      </c>
      <c r="B376" s="95" t="s">
        <v>280</v>
      </c>
      <c r="C376" s="94" t="s">
        <v>626</v>
      </c>
      <c r="D376" s="94" t="s">
        <v>247</v>
      </c>
      <c r="E376" s="96">
        <v>33637</v>
      </c>
      <c r="F376" s="97">
        <f ca="1">DATEDIF(E376,TODAY(),"Y")</f>
        <v>24</v>
      </c>
      <c r="G376" s="98"/>
      <c r="H376" s="99">
        <v>81930</v>
      </c>
      <c r="I376" s="100">
        <v>5</v>
      </c>
    </row>
    <row r="377" spans="1:9" ht="13.5" x14ac:dyDescent="0.25">
      <c r="A377" s="94" t="s">
        <v>626</v>
      </c>
      <c r="B377" s="95" t="s">
        <v>280</v>
      </c>
      <c r="C377" s="94" t="s">
        <v>626</v>
      </c>
      <c r="D377" s="94" t="s">
        <v>247</v>
      </c>
      <c r="E377" s="96">
        <v>33637</v>
      </c>
      <c r="F377" s="97">
        <f ca="1">DATEDIF(E377,TODAY(),"Y")</f>
        <v>24</v>
      </c>
      <c r="G377" s="98"/>
      <c r="H377" s="99">
        <v>81930</v>
      </c>
      <c r="I377" s="100">
        <v>5</v>
      </c>
    </row>
    <row r="378" spans="1:9" ht="13.5" x14ac:dyDescent="0.25">
      <c r="A378" s="94" t="s">
        <v>626</v>
      </c>
      <c r="B378" s="95" t="s">
        <v>245</v>
      </c>
      <c r="C378" s="94" t="s">
        <v>626</v>
      </c>
      <c r="D378" s="94" t="s">
        <v>256</v>
      </c>
      <c r="E378" s="96">
        <v>33910</v>
      </c>
      <c r="F378" s="97">
        <f ca="1">DATEDIF(E378,TODAY(),"Y")</f>
        <v>24</v>
      </c>
      <c r="G378" s="98" t="s">
        <v>267</v>
      </c>
      <c r="H378" s="99">
        <v>70480</v>
      </c>
      <c r="I378" s="100">
        <v>4</v>
      </c>
    </row>
    <row r="379" spans="1:9" ht="13.5" x14ac:dyDescent="0.25">
      <c r="A379" s="94" t="s">
        <v>626</v>
      </c>
      <c r="B379" s="95" t="s">
        <v>245</v>
      </c>
      <c r="C379" s="94" t="s">
        <v>626</v>
      </c>
      <c r="D379" s="94" t="s">
        <v>256</v>
      </c>
      <c r="E379" s="96">
        <v>33944</v>
      </c>
      <c r="F379" s="97">
        <f ca="1">DATEDIF(E379,TODAY(),"Y")</f>
        <v>23</v>
      </c>
      <c r="G379" s="98" t="s">
        <v>257</v>
      </c>
      <c r="H379" s="99">
        <v>48800</v>
      </c>
      <c r="I379" s="100">
        <v>4</v>
      </c>
    </row>
    <row r="380" spans="1:9" ht="13.5" x14ac:dyDescent="0.25">
      <c r="A380" s="94" t="s">
        <v>626</v>
      </c>
      <c r="B380" s="95" t="s">
        <v>251</v>
      </c>
      <c r="C380" s="94" t="s">
        <v>626</v>
      </c>
      <c r="D380" s="94" t="s">
        <v>256</v>
      </c>
      <c r="E380" s="96">
        <v>33972</v>
      </c>
      <c r="F380" s="97">
        <f ca="1">DATEDIF(E380,TODAY(),"Y")</f>
        <v>23</v>
      </c>
      <c r="G380" s="98" t="s">
        <v>257</v>
      </c>
      <c r="H380" s="99">
        <v>57560</v>
      </c>
      <c r="I380" s="100">
        <v>4</v>
      </c>
    </row>
    <row r="381" spans="1:9" ht="13.5" x14ac:dyDescent="0.25">
      <c r="A381" s="94" t="s">
        <v>626</v>
      </c>
      <c r="B381" s="95" t="s">
        <v>266</v>
      </c>
      <c r="C381" s="94" t="s">
        <v>626</v>
      </c>
      <c r="D381" s="94" t="s">
        <v>247</v>
      </c>
      <c r="E381" s="96">
        <v>34208</v>
      </c>
      <c r="F381" s="97">
        <f ca="1">DATEDIF(E381,TODAY(),"Y")</f>
        <v>23</v>
      </c>
      <c r="G381" s="98"/>
      <c r="H381" s="99">
        <v>53870</v>
      </c>
      <c r="I381" s="100">
        <v>2</v>
      </c>
    </row>
    <row r="382" spans="1:9" ht="13.5" x14ac:dyDescent="0.25">
      <c r="A382" s="94" t="s">
        <v>626</v>
      </c>
      <c r="B382" s="95" t="s">
        <v>285</v>
      </c>
      <c r="C382" s="94" t="s">
        <v>626</v>
      </c>
      <c r="D382" s="94" t="s">
        <v>256</v>
      </c>
      <c r="E382" s="96">
        <v>34237</v>
      </c>
      <c r="F382" s="97">
        <f ca="1">DATEDIF(E382,TODAY(),"Y")</f>
        <v>23</v>
      </c>
      <c r="G382" s="98" t="s">
        <v>257</v>
      </c>
      <c r="H382" s="99">
        <v>81640</v>
      </c>
      <c r="I382" s="100">
        <v>4</v>
      </c>
    </row>
    <row r="383" spans="1:9" ht="13.5" x14ac:dyDescent="0.25">
      <c r="A383" s="94" t="s">
        <v>626</v>
      </c>
      <c r="B383" s="95" t="s">
        <v>285</v>
      </c>
      <c r="C383" s="94" t="s">
        <v>626</v>
      </c>
      <c r="D383" s="94" t="s">
        <v>256</v>
      </c>
      <c r="E383" s="96">
        <v>34237</v>
      </c>
      <c r="F383" s="97">
        <f ca="1">DATEDIF(E383,TODAY(),"Y")</f>
        <v>23</v>
      </c>
      <c r="G383" s="98" t="s">
        <v>257</v>
      </c>
      <c r="H383" s="99">
        <v>81640</v>
      </c>
      <c r="I383" s="100">
        <v>4</v>
      </c>
    </row>
    <row r="384" spans="1:9" ht="13.5" x14ac:dyDescent="0.25">
      <c r="A384" s="94" t="s">
        <v>626</v>
      </c>
      <c r="B384" s="95" t="s">
        <v>285</v>
      </c>
      <c r="C384" s="94" t="s">
        <v>626</v>
      </c>
      <c r="D384" s="94" t="s">
        <v>247</v>
      </c>
      <c r="E384" s="96">
        <v>34372</v>
      </c>
      <c r="F384" s="97">
        <f ca="1">DATEDIF(E384,TODAY(),"Y")</f>
        <v>22</v>
      </c>
      <c r="G384" s="98"/>
      <c r="H384" s="99">
        <v>63850</v>
      </c>
      <c r="I384" s="100">
        <v>2</v>
      </c>
    </row>
    <row r="385" spans="1:9" ht="13.5" x14ac:dyDescent="0.25">
      <c r="A385" s="94" t="s">
        <v>626</v>
      </c>
      <c r="B385" s="95" t="s">
        <v>271</v>
      </c>
      <c r="C385" s="94" t="s">
        <v>626</v>
      </c>
      <c r="D385" s="94" t="s">
        <v>247</v>
      </c>
      <c r="E385" s="96">
        <v>34466</v>
      </c>
      <c r="F385" s="97">
        <f ca="1">DATEDIF(E385,TODAY(),"Y")</f>
        <v>22</v>
      </c>
      <c r="G385" s="98"/>
      <c r="H385" s="99">
        <v>77930</v>
      </c>
      <c r="I385" s="100">
        <v>5</v>
      </c>
    </row>
    <row r="386" spans="1:9" ht="13.5" x14ac:dyDescent="0.25">
      <c r="A386" s="94" t="s">
        <v>626</v>
      </c>
      <c r="B386" s="95" t="s">
        <v>245</v>
      </c>
      <c r="C386" s="94" t="s">
        <v>626</v>
      </c>
      <c r="D386" s="94" t="s">
        <v>256</v>
      </c>
      <c r="E386" s="96">
        <v>34546</v>
      </c>
      <c r="F386" s="97">
        <f ca="1">DATEDIF(E386,TODAY(),"Y")</f>
        <v>22</v>
      </c>
      <c r="G386" s="98" t="s">
        <v>276</v>
      </c>
      <c r="H386" s="99">
        <v>86830</v>
      </c>
      <c r="I386" s="100">
        <v>3</v>
      </c>
    </row>
    <row r="387" spans="1:9" ht="13.5" x14ac:dyDescent="0.25">
      <c r="A387" s="94" t="s">
        <v>626</v>
      </c>
      <c r="B387" s="95" t="s">
        <v>271</v>
      </c>
      <c r="C387" s="94" t="s">
        <v>626</v>
      </c>
      <c r="D387" s="94" t="s">
        <v>256</v>
      </c>
      <c r="E387" s="96">
        <v>34547</v>
      </c>
      <c r="F387" s="97">
        <f ca="1">DATEDIF(E387,TODAY(),"Y")</f>
        <v>22</v>
      </c>
      <c r="G387" s="98" t="s">
        <v>283</v>
      </c>
      <c r="H387" s="99">
        <v>82110</v>
      </c>
      <c r="I387" s="100">
        <v>3</v>
      </c>
    </row>
    <row r="388" spans="1:9" ht="13.5" x14ac:dyDescent="0.25">
      <c r="A388" s="94" t="s">
        <v>626</v>
      </c>
      <c r="B388" s="95" t="s">
        <v>285</v>
      </c>
      <c r="C388" s="94" t="s">
        <v>626</v>
      </c>
      <c r="D388" s="94" t="s">
        <v>261</v>
      </c>
      <c r="E388" s="96">
        <v>34784</v>
      </c>
      <c r="F388" s="97">
        <f ca="1">DATEDIF(E388,TODAY(),"Y")</f>
        <v>21</v>
      </c>
      <c r="G388" s="98" t="s">
        <v>257</v>
      </c>
      <c r="H388" s="99">
        <v>47885</v>
      </c>
      <c r="I388" s="100">
        <v>1</v>
      </c>
    </row>
    <row r="389" spans="1:9" ht="13.5" x14ac:dyDescent="0.25">
      <c r="A389" s="94" t="s">
        <v>626</v>
      </c>
      <c r="B389" s="95" t="s">
        <v>285</v>
      </c>
      <c r="C389" s="94" t="s">
        <v>626</v>
      </c>
      <c r="D389" s="94" t="s">
        <v>256</v>
      </c>
      <c r="E389" s="96">
        <v>34806</v>
      </c>
      <c r="F389" s="97">
        <f ca="1">DATEDIF(E389,TODAY(),"Y")</f>
        <v>21</v>
      </c>
      <c r="G389" s="98" t="s">
        <v>276</v>
      </c>
      <c r="H389" s="99">
        <v>49770</v>
      </c>
      <c r="I389" s="100">
        <v>1</v>
      </c>
    </row>
    <row r="390" spans="1:9" ht="13.5" x14ac:dyDescent="0.25">
      <c r="A390" s="94" t="s">
        <v>626</v>
      </c>
      <c r="B390" s="95" t="s">
        <v>245</v>
      </c>
      <c r="C390" s="94" t="s">
        <v>626</v>
      </c>
      <c r="D390" s="94" t="s">
        <v>261</v>
      </c>
      <c r="E390" s="96">
        <v>34811</v>
      </c>
      <c r="F390" s="97">
        <f ca="1">DATEDIF(E390,TODAY(),"Y")</f>
        <v>21</v>
      </c>
      <c r="G390" s="98" t="s">
        <v>283</v>
      </c>
      <c r="H390" s="99">
        <v>28880</v>
      </c>
      <c r="I390" s="100">
        <v>3</v>
      </c>
    </row>
    <row r="391" spans="1:9" ht="13.5" x14ac:dyDescent="0.25">
      <c r="A391" s="94" t="s">
        <v>626</v>
      </c>
      <c r="B391" s="95" t="s">
        <v>245</v>
      </c>
      <c r="C391" s="94" t="s">
        <v>626</v>
      </c>
      <c r="D391" s="94" t="s">
        <v>247</v>
      </c>
      <c r="E391" s="96">
        <v>34882</v>
      </c>
      <c r="F391" s="97">
        <f ca="1">DATEDIF(E391,TODAY(),"Y")</f>
        <v>21</v>
      </c>
      <c r="G391" s="98"/>
      <c r="H391" s="99">
        <v>47620</v>
      </c>
      <c r="I391" s="100">
        <v>5</v>
      </c>
    </row>
    <row r="392" spans="1:9" ht="13.5" x14ac:dyDescent="0.25">
      <c r="A392" s="94" t="s">
        <v>626</v>
      </c>
      <c r="B392" s="95" t="s">
        <v>251</v>
      </c>
      <c r="C392" s="94" t="s">
        <v>626</v>
      </c>
      <c r="D392" s="94" t="s">
        <v>247</v>
      </c>
      <c r="E392" s="96">
        <v>34889</v>
      </c>
      <c r="F392" s="97">
        <f ca="1">DATEDIF(E392,TODAY(),"Y")</f>
        <v>21</v>
      </c>
      <c r="G392" s="98"/>
      <c r="H392" s="99">
        <v>31270</v>
      </c>
      <c r="I392" s="100">
        <v>5</v>
      </c>
    </row>
    <row r="393" spans="1:9" ht="13.5" x14ac:dyDescent="0.25">
      <c r="A393" s="94" t="s">
        <v>626</v>
      </c>
      <c r="B393" s="95" t="s">
        <v>266</v>
      </c>
      <c r="C393" s="94" t="s">
        <v>626</v>
      </c>
      <c r="D393" s="94" t="s">
        <v>256</v>
      </c>
      <c r="E393" s="96">
        <v>34987</v>
      </c>
      <c r="F393" s="97">
        <f ca="1">DATEDIF(E393,TODAY(),"Y")</f>
        <v>21</v>
      </c>
      <c r="G393" s="98" t="s">
        <v>257</v>
      </c>
      <c r="H393" s="99">
        <v>46030</v>
      </c>
      <c r="I393" s="100">
        <v>2</v>
      </c>
    </row>
    <row r="394" spans="1:9" ht="13.5" x14ac:dyDescent="0.25">
      <c r="A394" s="94" t="s">
        <v>626</v>
      </c>
      <c r="B394" s="95" t="s">
        <v>280</v>
      </c>
      <c r="C394" s="94" t="s">
        <v>626</v>
      </c>
      <c r="D394" s="94" t="s">
        <v>261</v>
      </c>
      <c r="E394" s="96">
        <v>35061</v>
      </c>
      <c r="F394" s="97">
        <f ca="1">DATEDIF(E394,TODAY(),"Y")</f>
        <v>20</v>
      </c>
      <c r="G394" s="98" t="s">
        <v>283</v>
      </c>
      <c r="H394" s="99">
        <v>26790</v>
      </c>
      <c r="I394" s="100">
        <v>2</v>
      </c>
    </row>
    <row r="395" spans="1:9" ht="13.5" x14ac:dyDescent="0.25">
      <c r="A395" s="94" t="s">
        <v>626</v>
      </c>
      <c r="B395" s="95" t="s">
        <v>251</v>
      </c>
      <c r="C395" s="94" t="s">
        <v>626</v>
      </c>
      <c r="D395" s="94" t="s">
        <v>256</v>
      </c>
      <c r="E395" s="96">
        <v>35082</v>
      </c>
      <c r="F395" s="97">
        <f ca="1">DATEDIF(E395,TODAY(),"Y")</f>
        <v>20</v>
      </c>
      <c r="G395" s="98" t="s">
        <v>283</v>
      </c>
      <c r="H395" s="99">
        <v>51410</v>
      </c>
      <c r="I395" s="100">
        <v>4</v>
      </c>
    </row>
    <row r="396" spans="1:9" ht="13.5" x14ac:dyDescent="0.25">
      <c r="A396" s="94" t="s">
        <v>626</v>
      </c>
      <c r="B396" s="95" t="s">
        <v>271</v>
      </c>
      <c r="C396" s="94" t="s">
        <v>626</v>
      </c>
      <c r="D396" s="94" t="s">
        <v>256</v>
      </c>
      <c r="E396" s="96">
        <v>35146</v>
      </c>
      <c r="F396" s="97">
        <f ca="1">DATEDIF(E396,TODAY(),"Y")</f>
        <v>20</v>
      </c>
      <c r="G396" s="98" t="s">
        <v>283</v>
      </c>
      <c r="H396" s="99">
        <v>43460</v>
      </c>
      <c r="I396" s="100">
        <v>5</v>
      </c>
    </row>
    <row r="397" spans="1:9" ht="13.5" x14ac:dyDescent="0.25">
      <c r="A397" s="94" t="s">
        <v>626</v>
      </c>
      <c r="B397" s="95" t="s">
        <v>285</v>
      </c>
      <c r="C397" s="94" t="s">
        <v>626</v>
      </c>
      <c r="D397" s="94" t="s">
        <v>256</v>
      </c>
      <c r="E397" s="96">
        <v>35153</v>
      </c>
      <c r="F397" s="97">
        <f ca="1">DATEDIF(E397,TODAY(),"Y")</f>
        <v>20</v>
      </c>
      <c r="G397" s="98" t="s">
        <v>257</v>
      </c>
      <c r="H397" s="99">
        <v>44220</v>
      </c>
      <c r="I397" s="100">
        <v>3</v>
      </c>
    </row>
    <row r="398" spans="1:9" ht="13.5" x14ac:dyDescent="0.25">
      <c r="A398" s="94" t="s">
        <v>626</v>
      </c>
      <c r="B398" s="95" t="s">
        <v>245</v>
      </c>
      <c r="C398" s="94" t="s">
        <v>626</v>
      </c>
      <c r="D398" s="94" t="s">
        <v>256</v>
      </c>
      <c r="E398" s="96">
        <v>35352</v>
      </c>
      <c r="F398" s="97">
        <f ca="1">DATEDIF(E398,TODAY(),"Y")</f>
        <v>20</v>
      </c>
      <c r="G398" s="98" t="s">
        <v>283</v>
      </c>
      <c r="H398" s="99">
        <v>52490</v>
      </c>
      <c r="I398" s="100">
        <v>4</v>
      </c>
    </row>
    <row r="399" spans="1:9" ht="13.5" x14ac:dyDescent="0.25">
      <c r="A399" s="94" t="s">
        <v>626</v>
      </c>
      <c r="B399" s="95" t="s">
        <v>285</v>
      </c>
      <c r="C399" s="94" t="s">
        <v>626</v>
      </c>
      <c r="D399" s="94" t="s">
        <v>247</v>
      </c>
      <c r="E399" s="96">
        <v>35393</v>
      </c>
      <c r="F399" s="97">
        <f ca="1">DATEDIF(E399,TODAY(),"Y")</f>
        <v>19</v>
      </c>
      <c r="G399" s="98"/>
      <c r="H399" s="99">
        <v>50200</v>
      </c>
      <c r="I399" s="100">
        <v>4</v>
      </c>
    </row>
    <row r="400" spans="1:9" ht="13.5" x14ac:dyDescent="0.25">
      <c r="A400" s="94" t="s">
        <v>626</v>
      </c>
      <c r="B400" s="95" t="s">
        <v>245</v>
      </c>
      <c r="C400" s="94" t="s">
        <v>626</v>
      </c>
      <c r="D400" s="94" t="s">
        <v>256</v>
      </c>
      <c r="E400" s="96">
        <v>35630</v>
      </c>
      <c r="F400" s="97">
        <f ca="1">DATEDIF(E400,TODAY(),"Y")</f>
        <v>19</v>
      </c>
      <c r="G400" s="98" t="s">
        <v>257</v>
      </c>
      <c r="H400" s="99">
        <v>48990</v>
      </c>
      <c r="I400" s="100">
        <v>5</v>
      </c>
    </row>
    <row r="401" spans="1:9" ht="13.5" x14ac:dyDescent="0.25">
      <c r="A401" s="94" t="s">
        <v>626</v>
      </c>
      <c r="B401" s="95" t="s">
        <v>245</v>
      </c>
      <c r="C401" s="94" t="s">
        <v>626</v>
      </c>
      <c r="D401" s="94" t="s">
        <v>261</v>
      </c>
      <c r="E401" s="96">
        <v>35828</v>
      </c>
      <c r="F401" s="97">
        <f ca="1">DATEDIF(E401,TODAY(),"Y")</f>
        <v>18</v>
      </c>
      <c r="G401" s="98" t="s">
        <v>262</v>
      </c>
      <c r="H401" s="99">
        <v>31110</v>
      </c>
      <c r="I401" s="100">
        <v>1</v>
      </c>
    </row>
    <row r="402" spans="1:9" ht="13.5" x14ac:dyDescent="0.25">
      <c r="A402" s="94" t="s">
        <v>626</v>
      </c>
      <c r="B402" s="95" t="s">
        <v>280</v>
      </c>
      <c r="C402" s="94" t="s">
        <v>626</v>
      </c>
      <c r="D402" s="94" t="s">
        <v>261</v>
      </c>
      <c r="E402" s="96">
        <v>35831</v>
      </c>
      <c r="F402" s="97">
        <f ca="1">DATEDIF(E402,TODAY(),"Y")</f>
        <v>18</v>
      </c>
      <c r="G402" s="98" t="s">
        <v>276</v>
      </c>
      <c r="H402" s="99">
        <v>15910</v>
      </c>
      <c r="I402" s="100">
        <v>3</v>
      </c>
    </row>
    <row r="403" spans="1:9" ht="13.5" x14ac:dyDescent="0.25">
      <c r="A403" s="94" t="s">
        <v>626</v>
      </c>
      <c r="B403" s="95" t="s">
        <v>271</v>
      </c>
      <c r="C403" s="94" t="s">
        <v>626</v>
      </c>
      <c r="D403" s="94" t="s">
        <v>261</v>
      </c>
      <c r="E403" s="96">
        <v>35856</v>
      </c>
      <c r="F403" s="97">
        <f ca="1">DATEDIF(E403,TODAY(),"Y")</f>
        <v>18</v>
      </c>
      <c r="G403" s="98" t="s">
        <v>262</v>
      </c>
      <c r="H403" s="99">
        <v>47295</v>
      </c>
      <c r="I403" s="100">
        <v>4</v>
      </c>
    </row>
    <row r="404" spans="1:9" ht="13.5" x14ac:dyDescent="0.25">
      <c r="A404" s="94" t="s">
        <v>626</v>
      </c>
      <c r="B404" s="95" t="s">
        <v>285</v>
      </c>
      <c r="C404" s="94" t="s">
        <v>626</v>
      </c>
      <c r="D404" s="94" t="s">
        <v>261</v>
      </c>
      <c r="E404" s="96">
        <v>37052</v>
      </c>
      <c r="F404" s="97">
        <f ca="1">DATEDIF(E404,TODAY(),"Y")</f>
        <v>15</v>
      </c>
      <c r="G404" s="98" t="s">
        <v>257</v>
      </c>
      <c r="H404" s="99">
        <v>31255</v>
      </c>
      <c r="I404" s="100">
        <v>5</v>
      </c>
    </row>
    <row r="405" spans="1:9" ht="13.5" x14ac:dyDescent="0.25">
      <c r="A405" s="94" t="s">
        <v>626</v>
      </c>
      <c r="B405" s="95" t="s">
        <v>251</v>
      </c>
      <c r="C405" s="94" t="s">
        <v>626</v>
      </c>
      <c r="D405" s="94" t="s">
        <v>247</v>
      </c>
      <c r="E405" s="96">
        <v>37186</v>
      </c>
      <c r="F405" s="97">
        <f ca="1">DATEDIF(E405,TODAY(),"Y")</f>
        <v>15</v>
      </c>
      <c r="G405" s="98"/>
      <c r="H405" s="99">
        <v>57520</v>
      </c>
      <c r="I405" s="100">
        <v>3</v>
      </c>
    </row>
    <row r="406" spans="1:9" ht="13.5" x14ac:dyDescent="0.25">
      <c r="A406" s="94" t="s">
        <v>626</v>
      </c>
      <c r="B406" s="95" t="s">
        <v>245</v>
      </c>
      <c r="C406" s="94" t="s">
        <v>626</v>
      </c>
      <c r="D406" s="94" t="s">
        <v>261</v>
      </c>
      <c r="E406" s="96">
        <v>37788</v>
      </c>
      <c r="F406" s="97">
        <f ca="1">DATEDIF(E406,TODAY(),"Y")</f>
        <v>13</v>
      </c>
      <c r="G406" s="98" t="s">
        <v>283</v>
      </c>
      <c r="H406" s="99">
        <v>47705</v>
      </c>
      <c r="I406" s="100">
        <v>5</v>
      </c>
    </row>
    <row r="407" spans="1:9" ht="13.5" x14ac:dyDescent="0.25">
      <c r="A407" s="94" t="s">
        <v>626</v>
      </c>
      <c r="B407" s="95" t="s">
        <v>245</v>
      </c>
      <c r="C407" s="94" t="s">
        <v>626</v>
      </c>
      <c r="D407" s="94" t="s">
        <v>261</v>
      </c>
      <c r="E407" s="96">
        <v>37788</v>
      </c>
      <c r="F407" s="97">
        <f ca="1">DATEDIF(E407,TODAY(),"Y")</f>
        <v>13</v>
      </c>
      <c r="G407" s="98" t="s">
        <v>283</v>
      </c>
      <c r="H407" s="99">
        <v>47705</v>
      </c>
      <c r="I407" s="100">
        <v>5</v>
      </c>
    </row>
    <row r="408" spans="1:9" ht="13.5" x14ac:dyDescent="0.25">
      <c r="A408" s="94" t="s">
        <v>626</v>
      </c>
      <c r="B408" s="95" t="s">
        <v>245</v>
      </c>
      <c r="C408" s="94" t="s">
        <v>626</v>
      </c>
      <c r="D408" s="94" t="s">
        <v>256</v>
      </c>
      <c r="E408" s="96">
        <v>37847</v>
      </c>
      <c r="F408" s="97">
        <f ca="1">DATEDIF(E408,TODAY(),"Y")</f>
        <v>13</v>
      </c>
      <c r="G408" s="98" t="s">
        <v>283</v>
      </c>
      <c r="H408" s="99">
        <v>47610</v>
      </c>
      <c r="I408" s="100">
        <v>4</v>
      </c>
    </row>
    <row r="409" spans="1:9" ht="13.5" x14ac:dyDescent="0.25">
      <c r="A409" s="94" t="s">
        <v>626</v>
      </c>
      <c r="B409" s="95" t="s">
        <v>271</v>
      </c>
      <c r="C409" s="94" t="s">
        <v>626</v>
      </c>
      <c r="D409" s="94" t="s">
        <v>247</v>
      </c>
      <c r="E409" s="96">
        <v>37973</v>
      </c>
      <c r="F409" s="97">
        <f ca="1">DATEDIF(E409,TODAY(),"Y")</f>
        <v>12</v>
      </c>
      <c r="G409" s="98"/>
      <c r="H409" s="99">
        <v>74470</v>
      </c>
      <c r="I409" s="100">
        <v>3</v>
      </c>
    </row>
    <row r="410" spans="1:9" ht="13.5" x14ac:dyDescent="0.25">
      <c r="A410" s="94" t="s">
        <v>626</v>
      </c>
      <c r="B410" s="95" t="s">
        <v>245</v>
      </c>
      <c r="C410" s="94" t="s">
        <v>626</v>
      </c>
      <c r="D410" s="94" t="s">
        <v>261</v>
      </c>
      <c r="E410" s="96">
        <v>38561</v>
      </c>
      <c r="F410" s="97">
        <f ca="1">DATEDIF(E410,TODAY(),"Y")</f>
        <v>11</v>
      </c>
      <c r="G410" s="98" t="s">
        <v>267</v>
      </c>
      <c r="H410" s="99">
        <v>38575</v>
      </c>
      <c r="I410" s="100">
        <v>2</v>
      </c>
    </row>
    <row r="411" spans="1:9" ht="13.5" x14ac:dyDescent="0.25">
      <c r="A411" s="94" t="s">
        <v>626</v>
      </c>
      <c r="B411" s="95" t="s">
        <v>266</v>
      </c>
      <c r="C411" s="94" t="s">
        <v>626</v>
      </c>
      <c r="D411" s="94" t="s">
        <v>256</v>
      </c>
      <c r="E411" s="96">
        <v>38773</v>
      </c>
      <c r="F411" s="97">
        <f ca="1">DATEDIF(E411,TODAY(),"Y")</f>
        <v>10</v>
      </c>
      <c r="G411" s="98" t="s">
        <v>283</v>
      </c>
      <c r="H411" s="99">
        <v>44150</v>
      </c>
      <c r="I411" s="100">
        <v>4</v>
      </c>
    </row>
    <row r="412" spans="1:9" ht="13.5" x14ac:dyDescent="0.25">
      <c r="A412" s="94" t="s">
        <v>626</v>
      </c>
      <c r="B412" s="95" t="s">
        <v>271</v>
      </c>
      <c r="C412" s="94" t="s">
        <v>626</v>
      </c>
      <c r="D412" s="94" t="s">
        <v>256</v>
      </c>
      <c r="E412" s="96">
        <v>38899</v>
      </c>
      <c r="F412" s="97">
        <f ca="1">DATEDIF(E412,TODAY(),"Y")</f>
        <v>10</v>
      </c>
      <c r="G412" s="98" t="s">
        <v>283</v>
      </c>
      <c r="H412" s="99">
        <v>45260</v>
      </c>
      <c r="I412" s="100">
        <v>4</v>
      </c>
    </row>
    <row r="413" spans="1:9" ht="13.5" x14ac:dyDescent="0.25">
      <c r="A413" s="94" t="s">
        <v>626</v>
      </c>
      <c r="B413" s="95" t="s">
        <v>271</v>
      </c>
      <c r="C413" s="94" t="s">
        <v>626</v>
      </c>
      <c r="D413" s="94" t="s">
        <v>261</v>
      </c>
      <c r="E413" s="96">
        <v>39041</v>
      </c>
      <c r="F413" s="97">
        <f ca="1">DATEDIF(E413,TODAY(),"Y")</f>
        <v>9</v>
      </c>
      <c r="G413" s="98" t="s">
        <v>283</v>
      </c>
      <c r="H413" s="99">
        <v>20040</v>
      </c>
      <c r="I413" s="100">
        <v>3</v>
      </c>
    </row>
    <row r="414" spans="1:9" ht="13.5" x14ac:dyDescent="0.25">
      <c r="A414" s="94" t="s">
        <v>626</v>
      </c>
      <c r="B414" s="95" t="s">
        <v>271</v>
      </c>
      <c r="C414" s="94" t="s">
        <v>626</v>
      </c>
      <c r="D414" s="94" t="s">
        <v>256</v>
      </c>
      <c r="E414" s="96">
        <v>39051</v>
      </c>
      <c r="F414" s="97">
        <f ca="1">DATEDIF(E414,TODAY(),"Y")</f>
        <v>9</v>
      </c>
      <c r="G414" s="98" t="s">
        <v>267</v>
      </c>
      <c r="H414" s="99">
        <v>75780</v>
      </c>
      <c r="I414" s="100">
        <v>2</v>
      </c>
    </row>
    <row r="415" spans="1:9" ht="13.5" x14ac:dyDescent="0.25">
      <c r="A415" s="94" t="s">
        <v>626</v>
      </c>
      <c r="B415" s="95" t="s">
        <v>271</v>
      </c>
      <c r="C415" s="94" t="s">
        <v>626</v>
      </c>
      <c r="D415" s="94" t="s">
        <v>256</v>
      </c>
      <c r="E415" s="96">
        <v>39137</v>
      </c>
      <c r="F415" s="97">
        <f ca="1">DATEDIF(E415,TODAY(),"Y")</f>
        <v>9</v>
      </c>
      <c r="G415" s="98" t="s">
        <v>257</v>
      </c>
      <c r="H415" s="99">
        <v>33970</v>
      </c>
      <c r="I415" s="100">
        <v>4</v>
      </c>
    </row>
    <row r="416" spans="1:9" ht="13.5" x14ac:dyDescent="0.25">
      <c r="A416" s="94" t="s">
        <v>626</v>
      </c>
      <c r="B416" s="95" t="s">
        <v>271</v>
      </c>
      <c r="C416" s="94" t="s">
        <v>626</v>
      </c>
      <c r="D416" s="94" t="s">
        <v>256</v>
      </c>
      <c r="E416" s="96">
        <v>39137</v>
      </c>
      <c r="F416" s="97">
        <f ca="1">DATEDIF(E416,TODAY(),"Y")</f>
        <v>9</v>
      </c>
      <c r="G416" s="98" t="s">
        <v>257</v>
      </c>
      <c r="H416" s="99">
        <v>33970</v>
      </c>
      <c r="I416" s="100">
        <v>4</v>
      </c>
    </row>
    <row r="417" spans="1:9" ht="13.5" x14ac:dyDescent="0.25">
      <c r="A417" s="101"/>
      <c r="B417" s="95"/>
      <c r="C417" s="101"/>
      <c r="D417" s="94"/>
      <c r="E417" s="96"/>
      <c r="F417" s="97"/>
      <c r="G417" s="98"/>
      <c r="H417" s="99"/>
      <c r="I417" s="100"/>
    </row>
    <row r="418" spans="1:9" ht="13.5" x14ac:dyDescent="0.25">
      <c r="A418" s="94" t="s">
        <v>678</v>
      </c>
      <c r="B418" s="95" t="s">
        <v>280</v>
      </c>
      <c r="C418" s="94" t="s">
        <v>678</v>
      </c>
      <c r="D418" s="94" t="s">
        <v>256</v>
      </c>
      <c r="E418" s="96">
        <v>32307</v>
      </c>
      <c r="F418" s="97">
        <f ca="1">DATEDIF(E418,TODAY(),"Y")</f>
        <v>28</v>
      </c>
      <c r="G418" s="98" t="s">
        <v>257</v>
      </c>
      <c r="H418" s="99">
        <v>39110</v>
      </c>
      <c r="I418" s="100">
        <v>5</v>
      </c>
    </row>
    <row r="419" spans="1:9" ht="13.5" x14ac:dyDescent="0.25">
      <c r="A419" s="94" t="s">
        <v>678</v>
      </c>
      <c r="B419" s="95" t="s">
        <v>285</v>
      </c>
      <c r="C419" s="94" t="s">
        <v>678</v>
      </c>
      <c r="D419" s="94" t="s">
        <v>256</v>
      </c>
      <c r="E419" s="96">
        <v>32431</v>
      </c>
      <c r="F419" s="97">
        <f ca="1">DATEDIF(E419,TODAY(),"Y")</f>
        <v>28</v>
      </c>
      <c r="G419" s="98" t="s">
        <v>257</v>
      </c>
      <c r="H419" s="99">
        <v>48550</v>
      </c>
      <c r="I419" s="100">
        <v>5</v>
      </c>
    </row>
    <row r="420" spans="1:9" ht="13.5" x14ac:dyDescent="0.25">
      <c r="A420" s="94" t="s">
        <v>678</v>
      </c>
      <c r="B420" s="95" t="s">
        <v>285</v>
      </c>
      <c r="C420" s="94" t="s">
        <v>678</v>
      </c>
      <c r="D420" s="94" t="s">
        <v>256</v>
      </c>
      <c r="E420" s="96">
        <v>32594</v>
      </c>
      <c r="F420" s="97">
        <f ca="1">DATEDIF(E420,TODAY(),"Y")</f>
        <v>27</v>
      </c>
      <c r="G420" s="98" t="s">
        <v>262</v>
      </c>
      <c r="H420" s="99">
        <v>87980</v>
      </c>
      <c r="I420" s="100">
        <v>1</v>
      </c>
    </row>
    <row r="421" spans="1:9" ht="13.5" x14ac:dyDescent="0.25">
      <c r="A421" s="94" t="s">
        <v>678</v>
      </c>
      <c r="B421" s="95" t="s">
        <v>285</v>
      </c>
      <c r="C421" s="94" t="s">
        <v>678</v>
      </c>
      <c r="D421" s="94" t="s">
        <v>256</v>
      </c>
      <c r="E421" s="96">
        <v>33811</v>
      </c>
      <c r="F421" s="97">
        <f ca="1">DATEDIF(E421,TODAY(),"Y")</f>
        <v>24</v>
      </c>
      <c r="G421" s="98" t="s">
        <v>283</v>
      </c>
      <c r="H421" s="99">
        <v>22860</v>
      </c>
      <c r="I421" s="100">
        <v>5</v>
      </c>
    </row>
    <row r="422" spans="1:9" ht="13.5" x14ac:dyDescent="0.25">
      <c r="A422" s="94" t="s">
        <v>678</v>
      </c>
      <c r="B422" s="95" t="s">
        <v>280</v>
      </c>
      <c r="C422" s="94" t="s">
        <v>678</v>
      </c>
      <c r="D422" s="94" t="s">
        <v>261</v>
      </c>
      <c r="E422" s="96">
        <v>33840</v>
      </c>
      <c r="F422" s="97">
        <f ca="1">DATEDIF(E422,TODAY(),"Y")</f>
        <v>24</v>
      </c>
      <c r="G422" s="98" t="s">
        <v>257</v>
      </c>
      <c r="H422" s="99">
        <v>49405</v>
      </c>
      <c r="I422" s="100">
        <v>4</v>
      </c>
    </row>
    <row r="423" spans="1:9" ht="13.5" x14ac:dyDescent="0.25">
      <c r="A423" s="94" t="s">
        <v>678</v>
      </c>
      <c r="B423" s="95" t="s">
        <v>271</v>
      </c>
      <c r="C423" s="94" t="s">
        <v>678</v>
      </c>
      <c r="D423" s="94" t="s">
        <v>252</v>
      </c>
      <c r="E423" s="96">
        <v>34071</v>
      </c>
      <c r="F423" s="97">
        <f ca="1">DATEDIF(E423,TODAY(),"Y")</f>
        <v>23</v>
      </c>
      <c r="G423" s="98"/>
      <c r="H423" s="99">
        <v>35312</v>
      </c>
      <c r="I423" s="100">
        <v>3</v>
      </c>
    </row>
    <row r="424" spans="1:9" ht="13.5" x14ac:dyDescent="0.25">
      <c r="A424" s="94" t="s">
        <v>678</v>
      </c>
      <c r="B424" s="95" t="s">
        <v>285</v>
      </c>
      <c r="C424" s="94" t="s">
        <v>678</v>
      </c>
      <c r="D424" s="94" t="s">
        <v>247</v>
      </c>
      <c r="E424" s="96">
        <v>34137</v>
      </c>
      <c r="F424" s="97">
        <f ca="1">DATEDIF(E424,TODAY(),"Y")</f>
        <v>23</v>
      </c>
      <c r="G424" s="98"/>
      <c r="H424" s="99">
        <v>54190</v>
      </c>
      <c r="I424" s="100">
        <v>4</v>
      </c>
    </row>
    <row r="425" spans="1:9" ht="13.5" x14ac:dyDescent="0.25">
      <c r="A425" s="94" t="s">
        <v>678</v>
      </c>
      <c r="B425" s="95" t="s">
        <v>251</v>
      </c>
      <c r="C425" s="94" t="s">
        <v>678</v>
      </c>
      <c r="D425" s="94" t="s">
        <v>247</v>
      </c>
      <c r="E425" s="96">
        <v>34414</v>
      </c>
      <c r="F425" s="97">
        <f ca="1">DATEDIF(E425,TODAY(),"Y")</f>
        <v>22</v>
      </c>
      <c r="G425" s="98"/>
      <c r="H425" s="99">
        <v>86470</v>
      </c>
      <c r="I425" s="100">
        <v>4</v>
      </c>
    </row>
    <row r="426" spans="1:9" ht="13.5" x14ac:dyDescent="0.25">
      <c r="A426" s="94" t="s">
        <v>678</v>
      </c>
      <c r="B426" s="95" t="s">
        <v>271</v>
      </c>
      <c r="C426" s="94" t="s">
        <v>678</v>
      </c>
      <c r="D426" s="94" t="s">
        <v>261</v>
      </c>
      <c r="E426" s="96">
        <v>34651</v>
      </c>
      <c r="F426" s="97">
        <f ca="1">DATEDIF(E426,TODAY(),"Y")</f>
        <v>21</v>
      </c>
      <c r="G426" s="98" t="s">
        <v>257</v>
      </c>
      <c r="H426" s="99">
        <v>20500</v>
      </c>
      <c r="I426" s="100">
        <v>3</v>
      </c>
    </row>
    <row r="427" spans="1:9" ht="13.5" x14ac:dyDescent="0.25">
      <c r="A427" s="94" t="s">
        <v>678</v>
      </c>
      <c r="B427" s="95" t="s">
        <v>245</v>
      </c>
      <c r="C427" s="94" t="s">
        <v>678</v>
      </c>
      <c r="D427" s="94" t="s">
        <v>247</v>
      </c>
      <c r="E427" s="96">
        <v>34737</v>
      </c>
      <c r="F427" s="97">
        <f ca="1">DATEDIF(E427,TODAY(),"Y")</f>
        <v>21</v>
      </c>
      <c r="G427" s="98"/>
      <c r="H427" s="99">
        <v>72480</v>
      </c>
      <c r="I427" s="100">
        <v>2</v>
      </c>
    </row>
    <row r="428" spans="1:9" ht="13.5" x14ac:dyDescent="0.25">
      <c r="A428" s="94" t="s">
        <v>678</v>
      </c>
      <c r="B428" s="95" t="s">
        <v>271</v>
      </c>
      <c r="C428" s="94" t="s">
        <v>678</v>
      </c>
      <c r="D428" s="94" t="s">
        <v>252</v>
      </c>
      <c r="E428" s="96">
        <v>34774</v>
      </c>
      <c r="F428" s="97">
        <f ca="1">DATEDIF(E428,TODAY(),"Y")</f>
        <v>21</v>
      </c>
      <c r="G428" s="98"/>
      <c r="H428" s="99">
        <v>21668</v>
      </c>
      <c r="I428" s="100">
        <v>4</v>
      </c>
    </row>
    <row r="429" spans="1:9" ht="13.5" x14ac:dyDescent="0.25">
      <c r="A429" s="94" t="s">
        <v>678</v>
      </c>
      <c r="B429" s="95" t="s">
        <v>271</v>
      </c>
      <c r="C429" s="94" t="s">
        <v>678</v>
      </c>
      <c r="D429" s="94" t="s">
        <v>256</v>
      </c>
      <c r="E429" s="96">
        <v>34865</v>
      </c>
      <c r="F429" s="97">
        <f ca="1">DATEDIF(E429,TODAY(),"Y")</f>
        <v>21</v>
      </c>
      <c r="G429" s="98" t="s">
        <v>283</v>
      </c>
      <c r="H429" s="99">
        <v>23520</v>
      </c>
      <c r="I429" s="100">
        <v>2</v>
      </c>
    </row>
    <row r="430" spans="1:9" ht="13.5" x14ac:dyDescent="0.25">
      <c r="A430" s="94" t="s">
        <v>678</v>
      </c>
      <c r="B430" s="95" t="s">
        <v>266</v>
      </c>
      <c r="C430" s="94" t="s">
        <v>678</v>
      </c>
      <c r="D430" s="94" t="s">
        <v>256</v>
      </c>
      <c r="E430" s="96">
        <v>35156</v>
      </c>
      <c r="F430" s="97">
        <f ca="1">DATEDIF(E430,TODAY(),"Y")</f>
        <v>20</v>
      </c>
      <c r="G430" s="98" t="s">
        <v>283</v>
      </c>
      <c r="H430" s="99">
        <v>68410</v>
      </c>
      <c r="I430" s="100">
        <v>5</v>
      </c>
    </row>
    <row r="431" spans="1:9" ht="13.5" x14ac:dyDescent="0.25">
      <c r="A431" s="94" t="s">
        <v>678</v>
      </c>
      <c r="B431" s="95" t="s">
        <v>280</v>
      </c>
      <c r="C431" s="94" t="s">
        <v>678</v>
      </c>
      <c r="D431" s="94" t="s">
        <v>256</v>
      </c>
      <c r="E431" s="96">
        <v>35257</v>
      </c>
      <c r="F431" s="97">
        <f ca="1">DATEDIF(E431,TODAY(),"Y")</f>
        <v>20</v>
      </c>
      <c r="G431" s="98" t="s">
        <v>276</v>
      </c>
      <c r="H431" s="99">
        <v>45450</v>
      </c>
      <c r="I431" s="100">
        <v>5</v>
      </c>
    </row>
    <row r="432" spans="1:9" ht="13.5" x14ac:dyDescent="0.25">
      <c r="A432" s="94" t="s">
        <v>678</v>
      </c>
      <c r="B432" s="95" t="s">
        <v>271</v>
      </c>
      <c r="C432" s="94" t="s">
        <v>678</v>
      </c>
      <c r="D432" s="94" t="s">
        <v>256</v>
      </c>
      <c r="E432" s="96">
        <v>35588</v>
      </c>
      <c r="F432" s="97">
        <f ca="1">DATEDIF(E432,TODAY(),"Y")</f>
        <v>19</v>
      </c>
      <c r="G432" s="98" t="s">
        <v>257</v>
      </c>
      <c r="H432" s="99">
        <v>71820</v>
      </c>
      <c r="I432" s="100">
        <v>2</v>
      </c>
    </row>
    <row r="433" spans="1:9" ht="13.5" x14ac:dyDescent="0.25">
      <c r="A433" s="94" t="s">
        <v>678</v>
      </c>
      <c r="B433" s="95" t="s">
        <v>245</v>
      </c>
      <c r="C433" s="94" t="s">
        <v>678</v>
      </c>
      <c r="D433" s="94" t="s">
        <v>247</v>
      </c>
      <c r="E433" s="96">
        <v>35926</v>
      </c>
      <c r="F433" s="97">
        <f ca="1">DATEDIF(E433,TODAY(),"Y")</f>
        <v>18</v>
      </c>
      <c r="G433" s="98"/>
      <c r="H433" s="99">
        <v>29540</v>
      </c>
      <c r="I433" s="100">
        <v>3</v>
      </c>
    </row>
    <row r="434" spans="1:9" ht="13.5" x14ac:dyDescent="0.25">
      <c r="A434" s="94" t="s">
        <v>678</v>
      </c>
      <c r="B434" s="95" t="s">
        <v>285</v>
      </c>
      <c r="C434" s="94" t="s">
        <v>678</v>
      </c>
      <c r="D434" s="94" t="s">
        <v>247</v>
      </c>
      <c r="E434" s="96">
        <v>36493</v>
      </c>
      <c r="F434" s="97">
        <f ca="1">DATEDIF(E434,TODAY(),"Y")</f>
        <v>16</v>
      </c>
      <c r="G434" s="98"/>
      <c r="H434" s="99">
        <v>78100</v>
      </c>
      <c r="I434" s="100">
        <v>3</v>
      </c>
    </row>
    <row r="435" spans="1:9" ht="13.5" x14ac:dyDescent="0.25">
      <c r="A435" s="94" t="s">
        <v>678</v>
      </c>
      <c r="B435" s="95" t="s">
        <v>266</v>
      </c>
      <c r="C435" s="94" t="s">
        <v>678</v>
      </c>
      <c r="D435" s="94" t="s">
        <v>252</v>
      </c>
      <c r="E435" s="96">
        <v>36517</v>
      </c>
      <c r="F435" s="97">
        <f ca="1">DATEDIF(E435,TODAY(),"Y")</f>
        <v>16</v>
      </c>
      <c r="G435" s="98"/>
      <c r="H435" s="99">
        <v>11044</v>
      </c>
      <c r="I435" s="100">
        <v>2</v>
      </c>
    </row>
    <row r="436" spans="1:9" ht="13.5" x14ac:dyDescent="0.25">
      <c r="A436" s="94" t="s">
        <v>678</v>
      </c>
      <c r="B436" s="95" t="s">
        <v>251</v>
      </c>
      <c r="C436" s="94" t="s">
        <v>678</v>
      </c>
      <c r="D436" s="94" t="s">
        <v>247</v>
      </c>
      <c r="E436" s="96">
        <v>39023</v>
      </c>
      <c r="F436" s="97">
        <f ca="1">DATEDIF(E436,TODAY(),"Y")</f>
        <v>10</v>
      </c>
      <c r="G436" s="98"/>
      <c r="H436" s="99">
        <v>74020</v>
      </c>
      <c r="I436" s="100">
        <v>2</v>
      </c>
    </row>
    <row r="437" spans="1:9" ht="13.5" x14ac:dyDescent="0.25">
      <c r="A437" s="94" t="s">
        <v>678</v>
      </c>
      <c r="B437" s="95" t="s">
        <v>271</v>
      </c>
      <c r="C437" s="94" t="s">
        <v>678</v>
      </c>
      <c r="D437" s="94" t="s">
        <v>247</v>
      </c>
      <c r="E437" s="96">
        <v>39062</v>
      </c>
      <c r="F437" s="97">
        <f ca="1">DATEDIF(E437,TODAY(),"Y")</f>
        <v>9</v>
      </c>
      <c r="G437" s="98"/>
      <c r="H437" s="99">
        <v>75100</v>
      </c>
      <c r="I437" s="100">
        <v>4</v>
      </c>
    </row>
    <row r="438" spans="1:9" ht="13.5" x14ac:dyDescent="0.25">
      <c r="A438" s="94" t="s">
        <v>678</v>
      </c>
      <c r="B438" s="95" t="s">
        <v>280</v>
      </c>
      <c r="C438" s="94" t="s">
        <v>678</v>
      </c>
      <c r="D438" s="94" t="s">
        <v>256</v>
      </c>
      <c r="E438" s="96">
        <v>39223</v>
      </c>
      <c r="F438" s="97">
        <f ca="1">DATEDIF(E438,TODAY(),"Y")</f>
        <v>9</v>
      </c>
      <c r="G438" s="98" t="s">
        <v>276</v>
      </c>
      <c r="H438" s="99">
        <v>62180</v>
      </c>
      <c r="I438" s="100">
        <v>2</v>
      </c>
    </row>
    <row r="439" spans="1:9" ht="13.5" x14ac:dyDescent="0.25">
      <c r="A439" s="101"/>
      <c r="B439" s="95"/>
      <c r="C439" s="101"/>
      <c r="D439" s="94"/>
      <c r="E439" s="96"/>
      <c r="F439" s="97"/>
      <c r="G439" s="98"/>
      <c r="H439" s="99"/>
      <c r="I439" s="100"/>
    </row>
    <row r="440" spans="1:9" ht="13.5" x14ac:dyDescent="0.25">
      <c r="A440" s="94" t="s">
        <v>700</v>
      </c>
      <c r="B440" s="95" t="s">
        <v>245</v>
      </c>
      <c r="C440" s="94" t="s">
        <v>700</v>
      </c>
      <c r="D440" s="94" t="s">
        <v>247</v>
      </c>
      <c r="E440" s="96">
        <v>33098</v>
      </c>
      <c r="F440" s="97">
        <f ca="1">DATEDIF(E440,TODAY(),"Y")</f>
        <v>26</v>
      </c>
      <c r="G440" s="98"/>
      <c r="H440" s="99">
        <v>71700</v>
      </c>
      <c r="I440" s="100">
        <v>2</v>
      </c>
    </row>
    <row r="441" spans="1:9" ht="13.5" x14ac:dyDescent="0.25">
      <c r="A441" s="94" t="s">
        <v>700</v>
      </c>
      <c r="B441" s="95" t="s">
        <v>285</v>
      </c>
      <c r="C441" s="94" t="s">
        <v>700</v>
      </c>
      <c r="D441" s="94" t="s">
        <v>256</v>
      </c>
      <c r="E441" s="96">
        <v>33504</v>
      </c>
      <c r="F441" s="97">
        <f ca="1">DATEDIF(E441,TODAY(),"Y")</f>
        <v>25</v>
      </c>
      <c r="G441" s="98" t="s">
        <v>257</v>
      </c>
      <c r="H441" s="99">
        <v>63190</v>
      </c>
      <c r="I441" s="100">
        <v>1</v>
      </c>
    </row>
    <row r="442" spans="1:9" ht="13.5" x14ac:dyDescent="0.25">
      <c r="A442" s="94" t="s">
        <v>700</v>
      </c>
      <c r="B442" s="95" t="s">
        <v>245</v>
      </c>
      <c r="C442" s="94" t="s">
        <v>700</v>
      </c>
      <c r="D442" s="94" t="s">
        <v>247</v>
      </c>
      <c r="E442" s="96">
        <v>34141</v>
      </c>
      <c r="F442" s="97">
        <f ca="1">DATEDIF(E442,TODAY(),"Y")</f>
        <v>23</v>
      </c>
      <c r="G442" s="98"/>
      <c r="H442" s="99">
        <v>25120</v>
      </c>
      <c r="I442" s="100">
        <v>2</v>
      </c>
    </row>
    <row r="443" spans="1:9" ht="13.5" x14ac:dyDescent="0.25">
      <c r="A443" s="94" t="s">
        <v>700</v>
      </c>
      <c r="B443" s="95" t="s">
        <v>271</v>
      </c>
      <c r="C443" s="94" t="s">
        <v>700</v>
      </c>
      <c r="D443" s="94" t="s">
        <v>247</v>
      </c>
      <c r="E443" s="96">
        <v>34257</v>
      </c>
      <c r="F443" s="97">
        <f ca="1">DATEDIF(E443,TODAY(),"Y")</f>
        <v>23</v>
      </c>
      <c r="G443" s="98"/>
      <c r="H443" s="99">
        <v>44820</v>
      </c>
      <c r="I443" s="100">
        <v>4</v>
      </c>
    </row>
    <row r="444" spans="1:9" ht="13.5" x14ac:dyDescent="0.25">
      <c r="A444" s="101"/>
      <c r="B444" s="95"/>
      <c r="C444" s="101"/>
      <c r="D444" s="94"/>
      <c r="E444" s="96"/>
      <c r="F444" s="97"/>
      <c r="G444" s="98"/>
      <c r="H444" s="99"/>
      <c r="I444" s="100"/>
    </row>
    <row r="445" spans="1:9" ht="13.5" x14ac:dyDescent="0.25">
      <c r="A445" s="94" t="s">
        <v>705</v>
      </c>
      <c r="B445" s="95" t="s">
        <v>285</v>
      </c>
      <c r="C445" s="94" t="s">
        <v>705</v>
      </c>
      <c r="D445" s="94" t="s">
        <v>256</v>
      </c>
      <c r="E445" s="96">
        <v>32147</v>
      </c>
      <c r="F445" s="97">
        <f ca="1">DATEDIF(E445,TODAY(),"Y")</f>
        <v>28</v>
      </c>
      <c r="G445" s="98" t="s">
        <v>267</v>
      </c>
      <c r="H445" s="99">
        <v>61470</v>
      </c>
      <c r="I445" s="100">
        <v>5</v>
      </c>
    </row>
    <row r="446" spans="1:9" ht="13.5" x14ac:dyDescent="0.25">
      <c r="A446" s="94" t="s">
        <v>705</v>
      </c>
      <c r="B446" s="95" t="s">
        <v>271</v>
      </c>
      <c r="C446" s="94" t="s">
        <v>705</v>
      </c>
      <c r="D446" s="94" t="s">
        <v>261</v>
      </c>
      <c r="E446" s="96">
        <v>32192</v>
      </c>
      <c r="F446" s="97">
        <f ca="1">DATEDIF(E446,TODAY(),"Y")</f>
        <v>28</v>
      </c>
      <c r="G446" s="98" t="s">
        <v>262</v>
      </c>
      <c r="H446" s="99">
        <v>35045</v>
      </c>
      <c r="I446" s="100">
        <v>4</v>
      </c>
    </row>
    <row r="447" spans="1:9" ht="13.5" x14ac:dyDescent="0.25">
      <c r="A447" s="94" t="s">
        <v>705</v>
      </c>
      <c r="B447" s="95" t="s">
        <v>271</v>
      </c>
      <c r="C447" s="94" t="s">
        <v>705</v>
      </c>
      <c r="D447" s="94" t="s">
        <v>256</v>
      </c>
      <c r="E447" s="96">
        <v>32268</v>
      </c>
      <c r="F447" s="97">
        <f ca="1">DATEDIF(E447,TODAY(),"Y")</f>
        <v>28</v>
      </c>
      <c r="G447" s="98" t="s">
        <v>257</v>
      </c>
      <c r="H447" s="99">
        <v>43580</v>
      </c>
      <c r="I447" s="100">
        <v>5</v>
      </c>
    </row>
    <row r="448" spans="1:9" ht="13.5" x14ac:dyDescent="0.25">
      <c r="A448" s="94" t="s">
        <v>705</v>
      </c>
      <c r="B448" s="95" t="s">
        <v>245</v>
      </c>
      <c r="C448" s="94" t="s">
        <v>705</v>
      </c>
      <c r="D448" s="94" t="s">
        <v>256</v>
      </c>
      <c r="E448" s="96">
        <v>32310</v>
      </c>
      <c r="F448" s="97">
        <f ca="1">DATEDIF(E448,TODAY(),"Y")</f>
        <v>28</v>
      </c>
      <c r="G448" s="98" t="s">
        <v>283</v>
      </c>
      <c r="H448" s="99">
        <v>43190</v>
      </c>
      <c r="I448" s="100">
        <v>2</v>
      </c>
    </row>
    <row r="449" spans="1:9" ht="13.5" x14ac:dyDescent="0.25">
      <c r="A449" s="94" t="s">
        <v>705</v>
      </c>
      <c r="B449" s="95" t="s">
        <v>245</v>
      </c>
      <c r="C449" s="94" t="s">
        <v>705</v>
      </c>
      <c r="D449" s="94" t="s">
        <v>256</v>
      </c>
      <c r="E449" s="96">
        <v>32326</v>
      </c>
      <c r="F449" s="97">
        <f ca="1">DATEDIF(E449,TODAY(),"Y")</f>
        <v>28</v>
      </c>
      <c r="G449" s="98" t="s">
        <v>257</v>
      </c>
      <c r="H449" s="99">
        <v>26360</v>
      </c>
      <c r="I449" s="100">
        <v>1</v>
      </c>
    </row>
    <row r="450" spans="1:9" ht="13.5" x14ac:dyDescent="0.25">
      <c r="A450" s="94" t="s">
        <v>705</v>
      </c>
      <c r="B450" s="95" t="s">
        <v>285</v>
      </c>
      <c r="C450" s="94" t="s">
        <v>705</v>
      </c>
      <c r="D450" s="94" t="s">
        <v>256</v>
      </c>
      <c r="E450" s="96">
        <v>32332</v>
      </c>
      <c r="F450" s="97">
        <f ca="1">DATEDIF(E450,TODAY(),"Y")</f>
        <v>28</v>
      </c>
      <c r="G450" s="98" t="s">
        <v>257</v>
      </c>
      <c r="H450" s="99">
        <v>79770</v>
      </c>
      <c r="I450" s="100">
        <v>4</v>
      </c>
    </row>
    <row r="451" spans="1:9" ht="13.5" x14ac:dyDescent="0.25">
      <c r="A451" s="94" t="s">
        <v>705</v>
      </c>
      <c r="B451" s="95" t="s">
        <v>285</v>
      </c>
      <c r="C451" s="94" t="s">
        <v>705</v>
      </c>
      <c r="D451" s="94" t="s">
        <v>247</v>
      </c>
      <c r="E451" s="96">
        <v>32501</v>
      </c>
      <c r="F451" s="97">
        <f ca="1">DATEDIF(E451,TODAY(),"Y")</f>
        <v>27</v>
      </c>
      <c r="G451" s="98"/>
      <c r="H451" s="99">
        <v>32650</v>
      </c>
      <c r="I451" s="100">
        <v>1</v>
      </c>
    </row>
    <row r="452" spans="1:9" ht="13.5" x14ac:dyDescent="0.25">
      <c r="A452" s="94" t="s">
        <v>705</v>
      </c>
      <c r="B452" s="95" t="s">
        <v>285</v>
      </c>
      <c r="C452" s="94" t="s">
        <v>705</v>
      </c>
      <c r="D452" s="94" t="s">
        <v>256</v>
      </c>
      <c r="E452" s="96">
        <v>32568</v>
      </c>
      <c r="F452" s="97">
        <f ca="1">DATEDIF(E452,TODAY(),"Y")</f>
        <v>27</v>
      </c>
      <c r="G452" s="98" t="s">
        <v>276</v>
      </c>
      <c r="H452" s="99">
        <v>75370</v>
      </c>
      <c r="I452" s="100">
        <v>2</v>
      </c>
    </row>
    <row r="453" spans="1:9" ht="13.5" x14ac:dyDescent="0.25">
      <c r="A453" s="94" t="s">
        <v>705</v>
      </c>
      <c r="B453" s="95" t="s">
        <v>271</v>
      </c>
      <c r="C453" s="94" t="s">
        <v>705</v>
      </c>
      <c r="D453" s="94" t="s">
        <v>256</v>
      </c>
      <c r="E453" s="96">
        <v>32571</v>
      </c>
      <c r="F453" s="97">
        <f ca="1">DATEDIF(E453,TODAY(),"Y")</f>
        <v>27</v>
      </c>
      <c r="G453" s="98" t="s">
        <v>276</v>
      </c>
      <c r="H453" s="99">
        <v>46910</v>
      </c>
      <c r="I453" s="100">
        <v>3</v>
      </c>
    </row>
    <row r="454" spans="1:9" ht="13.5" x14ac:dyDescent="0.25">
      <c r="A454" s="94" t="s">
        <v>705</v>
      </c>
      <c r="B454" s="95" t="s">
        <v>285</v>
      </c>
      <c r="C454" s="94" t="s">
        <v>705</v>
      </c>
      <c r="D454" s="94" t="s">
        <v>256</v>
      </c>
      <c r="E454" s="96">
        <v>32618</v>
      </c>
      <c r="F454" s="97">
        <f ca="1">DATEDIF(E454,TODAY(),"Y")</f>
        <v>27</v>
      </c>
      <c r="G454" s="98" t="s">
        <v>262</v>
      </c>
      <c r="H454" s="99">
        <v>68010</v>
      </c>
      <c r="I454" s="100">
        <v>1</v>
      </c>
    </row>
    <row r="455" spans="1:9" ht="13.5" x14ac:dyDescent="0.25">
      <c r="A455" s="94" t="s">
        <v>705</v>
      </c>
      <c r="B455" s="95" t="s">
        <v>271</v>
      </c>
      <c r="C455" s="94" t="s">
        <v>705</v>
      </c>
      <c r="D455" s="94" t="s">
        <v>256</v>
      </c>
      <c r="E455" s="96">
        <v>32801</v>
      </c>
      <c r="F455" s="97">
        <f ca="1">DATEDIF(E455,TODAY(),"Y")</f>
        <v>27</v>
      </c>
      <c r="G455" s="98" t="s">
        <v>283</v>
      </c>
      <c r="H455" s="99">
        <v>73030</v>
      </c>
      <c r="I455" s="100">
        <v>5</v>
      </c>
    </row>
    <row r="456" spans="1:9" ht="13.5" x14ac:dyDescent="0.25">
      <c r="A456" s="94" t="s">
        <v>705</v>
      </c>
      <c r="B456" s="95" t="s">
        <v>251</v>
      </c>
      <c r="C456" s="94" t="s">
        <v>705</v>
      </c>
      <c r="D456" s="94" t="s">
        <v>247</v>
      </c>
      <c r="E456" s="96">
        <v>33192</v>
      </c>
      <c r="F456" s="97">
        <f ca="1">DATEDIF(E456,TODAY(),"Y")</f>
        <v>25</v>
      </c>
      <c r="G456" s="98"/>
      <c r="H456" s="99">
        <v>66710</v>
      </c>
      <c r="I456" s="100">
        <v>2</v>
      </c>
    </row>
    <row r="457" spans="1:9" ht="13.5" x14ac:dyDescent="0.25">
      <c r="A457" s="94" t="s">
        <v>705</v>
      </c>
      <c r="B457" s="95" t="s">
        <v>251</v>
      </c>
      <c r="C457" s="94" t="s">
        <v>705</v>
      </c>
      <c r="D457" s="94" t="s">
        <v>261</v>
      </c>
      <c r="E457" s="96">
        <v>33307</v>
      </c>
      <c r="F457" s="97">
        <f ca="1">DATEDIF(E457,TODAY(),"Y")</f>
        <v>25</v>
      </c>
      <c r="G457" s="98" t="s">
        <v>257</v>
      </c>
      <c r="H457" s="99">
        <v>13435</v>
      </c>
      <c r="I457" s="100">
        <v>1</v>
      </c>
    </row>
    <row r="458" spans="1:9" ht="13.5" x14ac:dyDescent="0.25">
      <c r="A458" s="94" t="s">
        <v>705</v>
      </c>
      <c r="B458" s="95" t="s">
        <v>280</v>
      </c>
      <c r="C458" s="94" t="s">
        <v>705</v>
      </c>
      <c r="D458" s="94" t="s">
        <v>256</v>
      </c>
      <c r="E458" s="96">
        <v>33392</v>
      </c>
      <c r="F458" s="97">
        <f ca="1">DATEDIF(E458,TODAY(),"Y")</f>
        <v>25</v>
      </c>
      <c r="G458" s="98" t="s">
        <v>257</v>
      </c>
      <c r="H458" s="99">
        <v>87030</v>
      </c>
      <c r="I458" s="100">
        <v>3</v>
      </c>
    </row>
    <row r="459" spans="1:9" ht="13.5" x14ac:dyDescent="0.25">
      <c r="A459" s="94" t="s">
        <v>705</v>
      </c>
      <c r="B459" s="95" t="s">
        <v>285</v>
      </c>
      <c r="C459" s="94" t="s">
        <v>705</v>
      </c>
      <c r="D459" s="94" t="s">
        <v>256</v>
      </c>
      <c r="E459" s="96">
        <v>33427</v>
      </c>
      <c r="F459" s="97">
        <f ca="1">DATEDIF(E459,TODAY(),"Y")</f>
        <v>25</v>
      </c>
      <c r="G459" s="98" t="s">
        <v>257</v>
      </c>
      <c r="H459" s="99">
        <v>88850</v>
      </c>
      <c r="I459" s="100">
        <v>3</v>
      </c>
    </row>
    <row r="460" spans="1:9" ht="13.5" x14ac:dyDescent="0.25">
      <c r="A460" s="94" t="s">
        <v>705</v>
      </c>
      <c r="B460" s="95" t="s">
        <v>266</v>
      </c>
      <c r="C460" s="94" t="s">
        <v>705</v>
      </c>
      <c r="D460" s="94" t="s">
        <v>256</v>
      </c>
      <c r="E460" s="96">
        <v>33430</v>
      </c>
      <c r="F460" s="97">
        <f ca="1">DATEDIF(E460,TODAY(),"Y")</f>
        <v>25</v>
      </c>
      <c r="G460" s="98" t="s">
        <v>267</v>
      </c>
      <c r="H460" s="99">
        <v>77840</v>
      </c>
      <c r="I460" s="100">
        <v>2</v>
      </c>
    </row>
    <row r="461" spans="1:9" ht="13.5" x14ac:dyDescent="0.25">
      <c r="A461" s="94" t="s">
        <v>705</v>
      </c>
      <c r="B461" s="95" t="s">
        <v>271</v>
      </c>
      <c r="C461" s="94" t="s">
        <v>705</v>
      </c>
      <c r="D461" s="94" t="s">
        <v>256</v>
      </c>
      <c r="E461" s="96">
        <v>33591</v>
      </c>
      <c r="F461" s="97">
        <f ca="1">DATEDIF(E461,TODAY(),"Y")</f>
        <v>24</v>
      </c>
      <c r="G461" s="98" t="s">
        <v>257</v>
      </c>
      <c r="H461" s="99">
        <v>25830</v>
      </c>
      <c r="I461" s="100">
        <v>5</v>
      </c>
    </row>
    <row r="462" spans="1:9" ht="13.5" x14ac:dyDescent="0.25">
      <c r="A462" s="94" t="s">
        <v>705</v>
      </c>
      <c r="B462" s="95" t="s">
        <v>280</v>
      </c>
      <c r="C462" s="94" t="s">
        <v>705</v>
      </c>
      <c r="D462" s="94" t="s">
        <v>256</v>
      </c>
      <c r="E462" s="96">
        <v>33823</v>
      </c>
      <c r="F462" s="97">
        <f ca="1">DATEDIF(E462,TODAY(),"Y")</f>
        <v>24</v>
      </c>
      <c r="G462" s="98" t="s">
        <v>283</v>
      </c>
      <c r="H462" s="99">
        <v>63080</v>
      </c>
      <c r="I462" s="100">
        <v>5</v>
      </c>
    </row>
    <row r="463" spans="1:9" ht="13.5" x14ac:dyDescent="0.25">
      <c r="A463" s="94" t="s">
        <v>705</v>
      </c>
      <c r="B463" s="95" t="s">
        <v>245</v>
      </c>
      <c r="C463" s="94" t="s">
        <v>705</v>
      </c>
      <c r="D463" s="94" t="s">
        <v>256</v>
      </c>
      <c r="E463" s="96">
        <v>34029</v>
      </c>
      <c r="F463" s="97">
        <f ca="1">DATEDIF(E463,TODAY(),"Y")</f>
        <v>23</v>
      </c>
      <c r="G463" s="98" t="s">
        <v>283</v>
      </c>
      <c r="H463" s="99">
        <v>43410</v>
      </c>
      <c r="I463" s="100">
        <v>1</v>
      </c>
    </row>
    <row r="464" spans="1:9" ht="13.5" x14ac:dyDescent="0.25">
      <c r="A464" s="94" t="s">
        <v>705</v>
      </c>
      <c r="B464" s="95" t="s">
        <v>285</v>
      </c>
      <c r="C464" s="94" t="s">
        <v>705</v>
      </c>
      <c r="D464" s="94" t="s">
        <v>256</v>
      </c>
      <c r="E464" s="96">
        <v>34069</v>
      </c>
      <c r="F464" s="97">
        <f ca="1">DATEDIF(E464,TODAY(),"Y")</f>
        <v>23</v>
      </c>
      <c r="G464" s="98" t="s">
        <v>276</v>
      </c>
      <c r="H464" s="99">
        <v>67230</v>
      </c>
      <c r="I464" s="100">
        <v>4</v>
      </c>
    </row>
    <row r="465" spans="1:9" ht="13.5" x14ac:dyDescent="0.25">
      <c r="A465" s="94" t="s">
        <v>705</v>
      </c>
      <c r="B465" s="95" t="s">
        <v>271</v>
      </c>
      <c r="C465" s="94" t="s">
        <v>705</v>
      </c>
      <c r="D465" s="94" t="s">
        <v>256</v>
      </c>
      <c r="E465" s="96">
        <v>34102</v>
      </c>
      <c r="F465" s="97">
        <f ca="1">DATEDIF(E465,TODAY(),"Y")</f>
        <v>23</v>
      </c>
      <c r="G465" s="98" t="s">
        <v>262</v>
      </c>
      <c r="H465" s="99">
        <v>77950</v>
      </c>
      <c r="I465" s="100">
        <v>4</v>
      </c>
    </row>
    <row r="466" spans="1:9" ht="13.5" x14ac:dyDescent="0.25">
      <c r="A466" s="94" t="s">
        <v>705</v>
      </c>
      <c r="B466" s="95" t="s">
        <v>285</v>
      </c>
      <c r="C466" s="94" t="s">
        <v>705</v>
      </c>
      <c r="D466" s="94" t="s">
        <v>256</v>
      </c>
      <c r="E466" s="96">
        <v>34593</v>
      </c>
      <c r="F466" s="97">
        <f ca="1">DATEDIF(E466,TODAY(),"Y")</f>
        <v>22</v>
      </c>
      <c r="G466" s="98" t="s">
        <v>257</v>
      </c>
      <c r="H466" s="99">
        <v>68520</v>
      </c>
      <c r="I466" s="100">
        <v>5</v>
      </c>
    </row>
    <row r="467" spans="1:9" ht="13.5" x14ac:dyDescent="0.25">
      <c r="A467" s="94" t="s">
        <v>705</v>
      </c>
      <c r="B467" s="95" t="s">
        <v>280</v>
      </c>
      <c r="C467" s="94" t="s">
        <v>705</v>
      </c>
      <c r="D467" s="94" t="s">
        <v>247</v>
      </c>
      <c r="E467" s="96">
        <v>34611</v>
      </c>
      <c r="F467" s="97">
        <f ca="1">DATEDIF(E467,TODAY(),"Y")</f>
        <v>22</v>
      </c>
      <c r="G467" s="98"/>
      <c r="H467" s="99">
        <v>63330</v>
      </c>
      <c r="I467" s="100">
        <v>4</v>
      </c>
    </row>
    <row r="468" spans="1:9" ht="13.5" x14ac:dyDescent="0.25">
      <c r="A468" s="94" t="s">
        <v>705</v>
      </c>
      <c r="B468" s="95" t="s">
        <v>271</v>
      </c>
      <c r="C468" s="94" t="s">
        <v>705</v>
      </c>
      <c r="D468" s="94" t="s">
        <v>256</v>
      </c>
      <c r="E468" s="96">
        <v>34659</v>
      </c>
      <c r="F468" s="97">
        <f ca="1">DATEDIF(E468,TODAY(),"Y")</f>
        <v>21</v>
      </c>
      <c r="G468" s="98" t="s">
        <v>257</v>
      </c>
      <c r="H468" s="99">
        <v>74530</v>
      </c>
      <c r="I468" s="100">
        <v>5</v>
      </c>
    </row>
    <row r="469" spans="1:9" ht="13.5" x14ac:dyDescent="0.25">
      <c r="A469" s="94" t="s">
        <v>705</v>
      </c>
      <c r="B469" s="95" t="s">
        <v>271</v>
      </c>
      <c r="C469" s="94" t="s">
        <v>705</v>
      </c>
      <c r="D469" s="94" t="s">
        <v>252</v>
      </c>
      <c r="E469" s="96">
        <v>35019</v>
      </c>
      <c r="F469" s="97">
        <f ca="1">DATEDIF(E469,TODAY(),"Y")</f>
        <v>20</v>
      </c>
      <c r="G469" s="98"/>
      <c r="H469" s="99">
        <v>39764</v>
      </c>
      <c r="I469" s="100">
        <v>1</v>
      </c>
    </row>
    <row r="470" spans="1:9" ht="13.5" x14ac:dyDescent="0.25">
      <c r="A470" s="94" t="s">
        <v>705</v>
      </c>
      <c r="B470" s="95" t="s">
        <v>271</v>
      </c>
      <c r="C470" s="94" t="s">
        <v>705</v>
      </c>
      <c r="D470" s="94" t="s">
        <v>247</v>
      </c>
      <c r="E470" s="96">
        <v>35313</v>
      </c>
      <c r="F470" s="97">
        <f ca="1">DATEDIF(E470,TODAY(),"Y")</f>
        <v>20</v>
      </c>
      <c r="G470" s="98"/>
      <c r="H470" s="99">
        <v>30300</v>
      </c>
      <c r="I470" s="100">
        <v>1</v>
      </c>
    </row>
    <row r="471" spans="1:9" ht="13.5" x14ac:dyDescent="0.25">
      <c r="A471" s="94" t="s">
        <v>705</v>
      </c>
      <c r="B471" s="95" t="s">
        <v>285</v>
      </c>
      <c r="C471" s="94" t="s">
        <v>705</v>
      </c>
      <c r="D471" s="94" t="s">
        <v>261</v>
      </c>
      <c r="E471" s="96">
        <v>35385</v>
      </c>
      <c r="F471" s="97">
        <f ca="1">DATEDIF(E471,TODAY(),"Y")</f>
        <v>19</v>
      </c>
      <c r="G471" s="98" t="s">
        <v>283</v>
      </c>
      <c r="H471" s="99">
        <v>29005</v>
      </c>
      <c r="I471" s="100">
        <v>1</v>
      </c>
    </row>
    <row r="472" spans="1:9" ht="13.5" x14ac:dyDescent="0.25">
      <c r="A472" s="94" t="s">
        <v>705</v>
      </c>
      <c r="B472" s="95" t="s">
        <v>245</v>
      </c>
      <c r="C472" s="94" t="s">
        <v>705</v>
      </c>
      <c r="D472" s="94" t="s">
        <v>261</v>
      </c>
      <c r="E472" s="96">
        <v>36160</v>
      </c>
      <c r="F472" s="97">
        <f ca="1">DATEDIF(E472,TODAY(),"Y")</f>
        <v>17</v>
      </c>
      <c r="G472" s="98" t="s">
        <v>257</v>
      </c>
      <c r="H472" s="99">
        <v>33810</v>
      </c>
      <c r="I472" s="100">
        <v>5</v>
      </c>
    </row>
    <row r="473" spans="1:9" ht="13.5" x14ac:dyDescent="0.25">
      <c r="A473" s="94" t="s">
        <v>705</v>
      </c>
      <c r="B473" s="95" t="s">
        <v>271</v>
      </c>
      <c r="C473" s="94" t="s">
        <v>705</v>
      </c>
      <c r="D473" s="94" t="s">
        <v>252</v>
      </c>
      <c r="E473" s="96">
        <v>36401</v>
      </c>
      <c r="F473" s="97">
        <f ca="1">DATEDIF(E473,TODAY(),"Y")</f>
        <v>17</v>
      </c>
      <c r="G473" s="98"/>
      <c r="H473" s="99">
        <v>21648</v>
      </c>
      <c r="I473" s="100">
        <v>2</v>
      </c>
    </row>
    <row r="474" spans="1:9" ht="13.5" x14ac:dyDescent="0.25">
      <c r="A474" s="94" t="s">
        <v>705</v>
      </c>
      <c r="B474" s="95" t="s">
        <v>285</v>
      </c>
      <c r="C474" s="94" t="s">
        <v>705</v>
      </c>
      <c r="D474" s="94" t="s">
        <v>252</v>
      </c>
      <c r="E474" s="96">
        <v>36834</v>
      </c>
      <c r="F474" s="97">
        <f ca="1">DATEDIF(E474,TODAY(),"Y")</f>
        <v>16</v>
      </c>
      <c r="G474" s="98"/>
      <c r="H474" s="99">
        <v>33512</v>
      </c>
      <c r="I474" s="100">
        <v>4</v>
      </c>
    </row>
    <row r="475" spans="1:9" ht="13.5" x14ac:dyDescent="0.25">
      <c r="A475" s="94" t="s">
        <v>705</v>
      </c>
      <c r="B475" s="95" t="s">
        <v>271</v>
      </c>
      <c r="C475" s="94" t="s">
        <v>705</v>
      </c>
      <c r="D475" s="94" t="s">
        <v>256</v>
      </c>
      <c r="E475" s="96">
        <v>36917</v>
      </c>
      <c r="F475" s="97">
        <f ca="1">DATEDIF(E475,TODAY(),"Y")</f>
        <v>15</v>
      </c>
      <c r="G475" s="98" t="s">
        <v>283</v>
      </c>
      <c r="H475" s="99">
        <v>86200</v>
      </c>
      <c r="I475" s="100">
        <v>3</v>
      </c>
    </row>
    <row r="476" spans="1:9" ht="13.5" x14ac:dyDescent="0.25">
      <c r="A476" s="94" t="s">
        <v>705</v>
      </c>
      <c r="B476" s="95" t="s">
        <v>285</v>
      </c>
      <c r="C476" s="94" t="s">
        <v>705</v>
      </c>
      <c r="D476" s="94" t="s">
        <v>256</v>
      </c>
      <c r="E476" s="96">
        <v>37497</v>
      </c>
      <c r="F476" s="97">
        <f ca="1">DATEDIF(E476,TODAY(),"Y")</f>
        <v>14</v>
      </c>
      <c r="G476" s="98" t="s">
        <v>257</v>
      </c>
      <c r="H476" s="99">
        <v>47060</v>
      </c>
      <c r="I476" s="100">
        <v>4</v>
      </c>
    </row>
    <row r="477" spans="1:9" ht="13.5" x14ac:dyDescent="0.25">
      <c r="A477" s="94" t="s">
        <v>705</v>
      </c>
      <c r="B477" s="95" t="s">
        <v>285</v>
      </c>
      <c r="C477" s="94" t="s">
        <v>705</v>
      </c>
      <c r="D477" s="94" t="s">
        <v>256</v>
      </c>
      <c r="E477" s="96">
        <v>37606</v>
      </c>
      <c r="F477" s="97">
        <f ca="1">DATEDIF(E477,TODAY(),"Y")</f>
        <v>13</v>
      </c>
      <c r="G477" s="98" t="s">
        <v>262</v>
      </c>
      <c r="H477" s="99">
        <v>27560</v>
      </c>
      <c r="I477" s="100">
        <v>2</v>
      </c>
    </row>
    <row r="478" spans="1:9" ht="13.5" x14ac:dyDescent="0.25">
      <c r="A478" s="94" t="s">
        <v>705</v>
      </c>
      <c r="B478" s="95" t="s">
        <v>251</v>
      </c>
      <c r="C478" s="94" t="s">
        <v>705</v>
      </c>
      <c r="D478" s="94" t="s">
        <v>261</v>
      </c>
      <c r="E478" s="96">
        <v>37989</v>
      </c>
      <c r="F478" s="97">
        <f ca="1">DATEDIF(E478,TODAY(),"Y")</f>
        <v>12</v>
      </c>
      <c r="G478" s="98" t="s">
        <v>276</v>
      </c>
      <c r="H478" s="99">
        <v>47760</v>
      </c>
      <c r="I478" s="100">
        <v>3</v>
      </c>
    </row>
    <row r="479" spans="1:9" ht="13.5" x14ac:dyDescent="0.25">
      <c r="A479" s="94" t="s">
        <v>705</v>
      </c>
      <c r="B479" s="95" t="s">
        <v>285</v>
      </c>
      <c r="C479" s="94" t="s">
        <v>705</v>
      </c>
      <c r="D479" s="94" t="s">
        <v>256</v>
      </c>
      <c r="E479" s="96">
        <v>38094</v>
      </c>
      <c r="F479" s="97">
        <f ca="1">DATEDIF(E479,TODAY(),"Y")</f>
        <v>12</v>
      </c>
      <c r="G479" s="98" t="s">
        <v>267</v>
      </c>
      <c r="H479" s="99">
        <v>50990</v>
      </c>
      <c r="I479" s="100">
        <v>4</v>
      </c>
    </row>
    <row r="480" spans="1:9" ht="13.5" x14ac:dyDescent="0.25">
      <c r="A480" s="94" t="s">
        <v>705</v>
      </c>
      <c r="B480" s="95" t="s">
        <v>245</v>
      </c>
      <c r="C480" s="94" t="s">
        <v>705</v>
      </c>
      <c r="D480" s="94" t="s">
        <v>256</v>
      </c>
      <c r="E480" s="96">
        <v>38347</v>
      </c>
      <c r="F480" s="97">
        <f ca="1">DATEDIF(E480,TODAY(),"Y")</f>
        <v>11</v>
      </c>
      <c r="G480" s="98" t="s">
        <v>276</v>
      </c>
      <c r="H480" s="99">
        <v>80880</v>
      </c>
      <c r="I480" s="100">
        <v>1</v>
      </c>
    </row>
    <row r="481" spans="1:9" ht="13.5" x14ac:dyDescent="0.25">
      <c r="A481" s="94" t="s">
        <v>705</v>
      </c>
      <c r="B481" s="95" t="s">
        <v>266</v>
      </c>
      <c r="C481" s="94" t="s">
        <v>705</v>
      </c>
      <c r="D481" s="94" t="s">
        <v>256</v>
      </c>
      <c r="E481" s="96">
        <v>38368</v>
      </c>
      <c r="F481" s="97">
        <f ca="1">DATEDIF(E481,TODAY(),"Y")</f>
        <v>11</v>
      </c>
      <c r="G481" s="98" t="s">
        <v>283</v>
      </c>
      <c r="H481" s="99">
        <v>80090</v>
      </c>
      <c r="I481" s="100">
        <v>2</v>
      </c>
    </row>
    <row r="482" spans="1:9" ht="13.5" x14ac:dyDescent="0.25">
      <c r="A482" s="94" t="s">
        <v>705</v>
      </c>
      <c r="B482" s="95" t="s">
        <v>280</v>
      </c>
      <c r="C482" s="94" t="s">
        <v>705</v>
      </c>
      <c r="D482" s="94" t="s">
        <v>247</v>
      </c>
      <c r="E482" s="96">
        <v>38473</v>
      </c>
      <c r="F482" s="97">
        <f ca="1">DATEDIF(E482,TODAY(),"Y")</f>
        <v>11</v>
      </c>
      <c r="G482" s="98"/>
      <c r="H482" s="99">
        <v>54000</v>
      </c>
      <c r="I482" s="100">
        <v>3</v>
      </c>
    </row>
    <row r="483" spans="1:9" ht="13.5" x14ac:dyDescent="0.25">
      <c r="A483" s="94" t="s">
        <v>705</v>
      </c>
      <c r="B483" s="95" t="s">
        <v>251</v>
      </c>
      <c r="C483" s="94" t="s">
        <v>705</v>
      </c>
      <c r="D483" s="94" t="s">
        <v>256</v>
      </c>
      <c r="E483" s="96">
        <v>39060</v>
      </c>
      <c r="F483" s="97">
        <f ca="1">DATEDIF(E483,TODAY(),"Y")</f>
        <v>9</v>
      </c>
      <c r="G483" s="98" t="s">
        <v>257</v>
      </c>
      <c r="H483" s="99">
        <v>66840</v>
      </c>
      <c r="I483" s="100">
        <v>4</v>
      </c>
    </row>
    <row r="484" spans="1:9" ht="13.5" x14ac:dyDescent="0.25">
      <c r="A484" s="94" t="s">
        <v>705</v>
      </c>
      <c r="B484" s="95" t="s">
        <v>266</v>
      </c>
      <c r="C484" s="94" t="s">
        <v>705</v>
      </c>
      <c r="D484" s="94" t="s">
        <v>261</v>
      </c>
      <c r="E484" s="102">
        <v>39083</v>
      </c>
      <c r="F484" s="97">
        <f ca="1">DATEDIF(E484,TODAY(),"Y")</f>
        <v>9</v>
      </c>
      <c r="G484" s="98" t="s">
        <v>257</v>
      </c>
      <c r="H484" s="99">
        <v>16925</v>
      </c>
      <c r="I484" s="100">
        <v>1</v>
      </c>
    </row>
    <row r="485" spans="1:9" ht="13.5" x14ac:dyDescent="0.25">
      <c r="A485" s="94" t="s">
        <v>705</v>
      </c>
      <c r="B485" s="95" t="s">
        <v>245</v>
      </c>
      <c r="C485" s="94" t="s">
        <v>705</v>
      </c>
      <c r="D485" s="94" t="s">
        <v>252</v>
      </c>
      <c r="E485" s="102">
        <v>39093</v>
      </c>
      <c r="F485" s="97">
        <f ca="1">DATEDIF(E485,TODAY(),"Y")</f>
        <v>9</v>
      </c>
      <c r="G485" s="98"/>
      <c r="H485" s="99">
        <v>15056</v>
      </c>
      <c r="I485" s="100">
        <v>5</v>
      </c>
    </row>
    <row r="486" spans="1:9" ht="13.5" x14ac:dyDescent="0.25">
      <c r="A486" s="94" t="s">
        <v>705</v>
      </c>
      <c r="B486" s="95" t="s">
        <v>271</v>
      </c>
      <c r="C486" s="94" t="s">
        <v>705</v>
      </c>
      <c r="D486" s="94" t="s">
        <v>252</v>
      </c>
      <c r="E486" s="102">
        <v>39142</v>
      </c>
      <c r="F486" s="97">
        <f ca="1">DATEDIF(E486,TODAY(),"Y")</f>
        <v>9</v>
      </c>
      <c r="G486" s="98"/>
      <c r="H486" s="99">
        <v>9180</v>
      </c>
      <c r="I486" s="100">
        <v>3</v>
      </c>
    </row>
    <row r="487" spans="1:9" ht="13.5" x14ac:dyDescent="0.25">
      <c r="A487" s="94" t="s">
        <v>705</v>
      </c>
      <c r="B487" s="95" t="s">
        <v>251</v>
      </c>
      <c r="C487" s="94" t="s">
        <v>705</v>
      </c>
      <c r="D487" s="94" t="s">
        <v>247</v>
      </c>
      <c r="E487" s="96">
        <v>39158</v>
      </c>
      <c r="F487" s="97">
        <f ca="1">DATEDIF(E487,TODAY(),"Y")</f>
        <v>9</v>
      </c>
      <c r="G487" s="98"/>
      <c r="H487" s="99">
        <v>39440</v>
      </c>
      <c r="I487" s="100">
        <v>4</v>
      </c>
    </row>
    <row r="488" spans="1:9" ht="13.5" x14ac:dyDescent="0.25">
      <c r="A488" s="94" t="s">
        <v>705</v>
      </c>
      <c r="B488" s="95" t="s">
        <v>251</v>
      </c>
      <c r="C488" s="94" t="s">
        <v>705</v>
      </c>
      <c r="D488" s="94" t="s">
        <v>247</v>
      </c>
      <c r="E488" s="102">
        <v>39310</v>
      </c>
      <c r="F488" s="97">
        <f ca="1">DATEDIF(E488,TODAY(),"Y")</f>
        <v>9</v>
      </c>
      <c r="G488" s="98"/>
      <c r="H488" s="99">
        <v>84300</v>
      </c>
      <c r="I488" s="100">
        <v>1</v>
      </c>
    </row>
    <row r="489" spans="1:9" ht="13.5" x14ac:dyDescent="0.25">
      <c r="A489" s="101"/>
      <c r="B489" s="95"/>
      <c r="C489" s="101"/>
      <c r="D489" s="94"/>
      <c r="E489" s="102"/>
      <c r="F489" s="97"/>
      <c r="G489" s="98"/>
      <c r="H489" s="99"/>
      <c r="I489" s="100"/>
    </row>
    <row r="490" spans="1:9" ht="13.5" x14ac:dyDescent="0.25">
      <c r="A490" s="94" t="s">
        <v>750</v>
      </c>
      <c r="B490" s="95" t="s">
        <v>285</v>
      </c>
      <c r="C490" s="94" t="s">
        <v>750</v>
      </c>
      <c r="D490" s="94" t="s">
        <v>261</v>
      </c>
      <c r="E490" s="96">
        <v>31802</v>
      </c>
      <c r="F490" s="97">
        <f ca="1">DATEDIF(E490,TODAY(),"Y")</f>
        <v>29</v>
      </c>
      <c r="G490" s="98" t="s">
        <v>267</v>
      </c>
      <c r="H490" s="99">
        <v>24815</v>
      </c>
      <c r="I490" s="100">
        <v>1</v>
      </c>
    </row>
    <row r="491" spans="1:9" ht="13.5" x14ac:dyDescent="0.25">
      <c r="A491" s="94" t="s">
        <v>750</v>
      </c>
      <c r="B491" s="95" t="s">
        <v>271</v>
      </c>
      <c r="C491" s="94" t="s">
        <v>750</v>
      </c>
      <c r="D491" s="94" t="s">
        <v>256</v>
      </c>
      <c r="E491" s="96">
        <v>31803</v>
      </c>
      <c r="F491" s="97">
        <f ca="1">DATEDIF(E491,TODAY(),"Y")</f>
        <v>29</v>
      </c>
      <c r="G491" s="98" t="s">
        <v>257</v>
      </c>
      <c r="H491" s="99">
        <v>32600</v>
      </c>
      <c r="I491" s="100">
        <v>5</v>
      </c>
    </row>
    <row r="492" spans="1:9" ht="13.5" x14ac:dyDescent="0.25">
      <c r="A492" s="94" t="s">
        <v>750</v>
      </c>
      <c r="B492" s="95" t="s">
        <v>285</v>
      </c>
      <c r="C492" s="94" t="s">
        <v>750</v>
      </c>
      <c r="D492" s="94" t="s">
        <v>252</v>
      </c>
      <c r="E492" s="96">
        <v>31848</v>
      </c>
      <c r="F492" s="97">
        <f ca="1">DATEDIF(E492,TODAY(),"Y")</f>
        <v>29</v>
      </c>
      <c r="G492" s="98"/>
      <c r="H492" s="99">
        <v>33232</v>
      </c>
      <c r="I492" s="100">
        <v>4</v>
      </c>
    </row>
    <row r="493" spans="1:9" ht="13.5" x14ac:dyDescent="0.25">
      <c r="A493" s="94" t="s">
        <v>750</v>
      </c>
      <c r="B493" s="95" t="s">
        <v>245</v>
      </c>
      <c r="C493" s="94" t="s">
        <v>750</v>
      </c>
      <c r="D493" s="94" t="s">
        <v>261</v>
      </c>
      <c r="E493" s="96">
        <v>31850</v>
      </c>
      <c r="F493" s="97">
        <f ca="1">DATEDIF(E493,TODAY(),"Y")</f>
        <v>29</v>
      </c>
      <c r="G493" s="98" t="s">
        <v>262</v>
      </c>
      <c r="H493" s="99">
        <v>39620</v>
      </c>
      <c r="I493" s="100">
        <v>5</v>
      </c>
    </row>
    <row r="494" spans="1:9" ht="13.5" x14ac:dyDescent="0.25">
      <c r="A494" s="94" t="s">
        <v>750</v>
      </c>
      <c r="B494" s="95" t="s">
        <v>266</v>
      </c>
      <c r="C494" s="94" t="s">
        <v>750</v>
      </c>
      <c r="D494" s="94" t="s">
        <v>256</v>
      </c>
      <c r="E494" s="96">
        <v>31869</v>
      </c>
      <c r="F494" s="97">
        <f ca="1">DATEDIF(E494,TODAY(),"Y")</f>
        <v>29</v>
      </c>
      <c r="G494" s="98" t="s">
        <v>283</v>
      </c>
      <c r="H494" s="99">
        <v>43110</v>
      </c>
      <c r="I494" s="100">
        <v>2</v>
      </c>
    </row>
    <row r="495" spans="1:9" ht="13.5" x14ac:dyDescent="0.25">
      <c r="A495" s="94" t="s">
        <v>750</v>
      </c>
      <c r="B495" s="95" t="s">
        <v>285</v>
      </c>
      <c r="C495" s="94" t="s">
        <v>750</v>
      </c>
      <c r="D495" s="94" t="s">
        <v>256</v>
      </c>
      <c r="E495" s="96">
        <v>31876</v>
      </c>
      <c r="F495" s="97">
        <f ca="1">DATEDIF(E495,TODAY(),"Y")</f>
        <v>29</v>
      </c>
      <c r="G495" s="98" t="s">
        <v>257</v>
      </c>
      <c r="H495" s="99">
        <v>40940</v>
      </c>
      <c r="I495" s="100">
        <v>3</v>
      </c>
    </row>
    <row r="496" spans="1:9" ht="13.5" x14ac:dyDescent="0.25">
      <c r="A496" s="94" t="s">
        <v>750</v>
      </c>
      <c r="B496" s="95" t="s">
        <v>285</v>
      </c>
      <c r="C496" s="94" t="s">
        <v>750</v>
      </c>
      <c r="D496" s="94" t="s">
        <v>256</v>
      </c>
      <c r="E496" s="96">
        <v>31936</v>
      </c>
      <c r="F496" s="97">
        <f ca="1">DATEDIF(E496,TODAY(),"Y")</f>
        <v>29</v>
      </c>
      <c r="G496" s="98" t="s">
        <v>257</v>
      </c>
      <c r="H496" s="99">
        <v>71730</v>
      </c>
      <c r="I496" s="100">
        <v>1</v>
      </c>
    </row>
    <row r="497" spans="1:9" ht="13.5" x14ac:dyDescent="0.25">
      <c r="A497" s="94" t="s">
        <v>750</v>
      </c>
      <c r="B497" s="95" t="s">
        <v>285</v>
      </c>
      <c r="C497" s="94" t="s">
        <v>750</v>
      </c>
      <c r="D497" s="94" t="s">
        <v>256</v>
      </c>
      <c r="E497" s="96">
        <v>31970</v>
      </c>
      <c r="F497" s="97">
        <f ca="1">DATEDIF(E497,TODAY(),"Y")</f>
        <v>29</v>
      </c>
      <c r="G497" s="98" t="s">
        <v>257</v>
      </c>
      <c r="H497" s="99">
        <v>87950</v>
      </c>
      <c r="I497" s="100">
        <v>4</v>
      </c>
    </row>
    <row r="498" spans="1:9" ht="13.5" x14ac:dyDescent="0.25">
      <c r="A498" s="94" t="s">
        <v>750</v>
      </c>
      <c r="B498" s="95" t="s">
        <v>251</v>
      </c>
      <c r="C498" s="94" t="s">
        <v>750</v>
      </c>
      <c r="D498" s="94" t="s">
        <v>247</v>
      </c>
      <c r="E498" s="96">
        <v>31976</v>
      </c>
      <c r="F498" s="97">
        <f ca="1">DATEDIF(E498,TODAY(),"Y")</f>
        <v>29</v>
      </c>
      <c r="G498" s="98"/>
      <c r="H498" s="99">
        <v>49070</v>
      </c>
      <c r="I498" s="100">
        <v>3</v>
      </c>
    </row>
    <row r="499" spans="1:9" ht="13.5" x14ac:dyDescent="0.25">
      <c r="A499" s="94" t="s">
        <v>750</v>
      </c>
      <c r="B499" s="95" t="s">
        <v>271</v>
      </c>
      <c r="C499" s="94" t="s">
        <v>750</v>
      </c>
      <c r="D499" s="94" t="s">
        <v>256</v>
      </c>
      <c r="E499" s="96">
        <v>32010</v>
      </c>
      <c r="F499" s="97">
        <f ca="1">DATEDIF(E499,TODAY(),"Y")</f>
        <v>29</v>
      </c>
      <c r="G499" s="98" t="s">
        <v>276</v>
      </c>
      <c r="H499" s="99">
        <v>35320</v>
      </c>
      <c r="I499" s="100">
        <v>3</v>
      </c>
    </row>
    <row r="500" spans="1:9" ht="13.5" x14ac:dyDescent="0.25">
      <c r="A500" s="94" t="s">
        <v>750</v>
      </c>
      <c r="B500" s="95" t="s">
        <v>285</v>
      </c>
      <c r="C500" s="94" t="s">
        <v>750</v>
      </c>
      <c r="D500" s="94" t="s">
        <v>261</v>
      </c>
      <c r="E500" s="96">
        <v>32039</v>
      </c>
      <c r="F500" s="97">
        <f ca="1">DATEDIF(E500,TODAY(),"Y")</f>
        <v>29</v>
      </c>
      <c r="G500" s="98" t="s">
        <v>276</v>
      </c>
      <c r="H500" s="99">
        <v>16015</v>
      </c>
      <c r="I500" s="100">
        <v>3</v>
      </c>
    </row>
    <row r="501" spans="1:9" ht="13.5" x14ac:dyDescent="0.25">
      <c r="A501" s="94" t="s">
        <v>750</v>
      </c>
      <c r="B501" s="95" t="s">
        <v>271</v>
      </c>
      <c r="C501" s="94" t="s">
        <v>750</v>
      </c>
      <c r="D501" s="94" t="s">
        <v>256</v>
      </c>
      <c r="E501" s="96">
        <v>32130</v>
      </c>
      <c r="F501" s="97">
        <f ca="1">DATEDIF(E501,TODAY(),"Y")</f>
        <v>28</v>
      </c>
      <c r="G501" s="98" t="s">
        <v>257</v>
      </c>
      <c r="H501" s="99">
        <v>69400</v>
      </c>
      <c r="I501" s="100">
        <v>5</v>
      </c>
    </row>
    <row r="502" spans="1:9" ht="13.5" x14ac:dyDescent="0.25">
      <c r="A502" s="94" t="s">
        <v>750</v>
      </c>
      <c r="B502" s="95" t="s">
        <v>271</v>
      </c>
      <c r="C502" s="94" t="s">
        <v>750</v>
      </c>
      <c r="D502" s="94" t="s">
        <v>256</v>
      </c>
      <c r="E502" s="96">
        <v>32150</v>
      </c>
      <c r="F502" s="97">
        <f ca="1">DATEDIF(E502,TODAY(),"Y")</f>
        <v>28</v>
      </c>
      <c r="G502" s="98" t="s">
        <v>283</v>
      </c>
      <c r="H502" s="99">
        <v>77720</v>
      </c>
      <c r="I502" s="100">
        <v>3</v>
      </c>
    </row>
    <row r="503" spans="1:9" ht="13.5" x14ac:dyDescent="0.25">
      <c r="A503" s="94" t="s">
        <v>750</v>
      </c>
      <c r="B503" s="95" t="s">
        <v>266</v>
      </c>
      <c r="C503" s="94" t="s">
        <v>750</v>
      </c>
      <c r="D503" s="94" t="s">
        <v>256</v>
      </c>
      <c r="E503" s="96">
        <v>32203</v>
      </c>
      <c r="F503" s="97">
        <f ca="1">DATEDIF(E503,TODAY(),"Y")</f>
        <v>28</v>
      </c>
      <c r="G503" s="98" t="s">
        <v>267</v>
      </c>
      <c r="H503" s="99">
        <v>44560</v>
      </c>
      <c r="I503" s="100">
        <v>2</v>
      </c>
    </row>
    <row r="504" spans="1:9" ht="13.5" x14ac:dyDescent="0.25">
      <c r="A504" s="94" t="s">
        <v>750</v>
      </c>
      <c r="B504" s="95" t="s">
        <v>271</v>
      </c>
      <c r="C504" s="94" t="s">
        <v>750</v>
      </c>
      <c r="D504" s="94" t="s">
        <v>256</v>
      </c>
      <c r="E504" s="96">
        <v>32226</v>
      </c>
      <c r="F504" s="97">
        <f ca="1">DATEDIF(E504,TODAY(),"Y")</f>
        <v>28</v>
      </c>
      <c r="G504" s="98" t="s">
        <v>257</v>
      </c>
      <c r="H504" s="99">
        <v>81530</v>
      </c>
      <c r="I504" s="100">
        <v>5</v>
      </c>
    </row>
    <row r="505" spans="1:9" ht="13.5" x14ac:dyDescent="0.25">
      <c r="A505" s="94" t="s">
        <v>750</v>
      </c>
      <c r="B505" s="95" t="s">
        <v>245</v>
      </c>
      <c r="C505" s="94" t="s">
        <v>750</v>
      </c>
      <c r="D505" s="94" t="s">
        <v>256</v>
      </c>
      <c r="E505" s="96">
        <v>32278</v>
      </c>
      <c r="F505" s="97">
        <f ca="1">DATEDIF(E505,TODAY(),"Y")</f>
        <v>28</v>
      </c>
      <c r="G505" s="98" t="s">
        <v>283</v>
      </c>
      <c r="H505" s="99">
        <v>44620</v>
      </c>
      <c r="I505" s="100">
        <v>5</v>
      </c>
    </row>
    <row r="506" spans="1:9" ht="13.5" x14ac:dyDescent="0.25">
      <c r="A506" s="101"/>
      <c r="B506" s="95"/>
      <c r="C506" s="101"/>
      <c r="D506" s="94"/>
      <c r="E506" s="96"/>
      <c r="F506" s="97"/>
      <c r="G506" s="98"/>
      <c r="H506" s="99"/>
      <c r="I506" s="100"/>
    </row>
    <row r="507" spans="1:9" ht="13.5" x14ac:dyDescent="0.25">
      <c r="A507" s="94" t="s">
        <v>767</v>
      </c>
      <c r="B507" s="95" t="s">
        <v>271</v>
      </c>
      <c r="C507" s="94" t="s">
        <v>767</v>
      </c>
      <c r="D507" s="94" t="s">
        <v>256</v>
      </c>
      <c r="E507" s="96">
        <v>31788</v>
      </c>
      <c r="F507" s="97">
        <f ca="1">DATEDIF(E507,TODAY(),"Y")</f>
        <v>29</v>
      </c>
      <c r="G507" s="98" t="s">
        <v>257</v>
      </c>
      <c r="H507" s="99">
        <v>48080</v>
      </c>
      <c r="I507" s="100">
        <v>2</v>
      </c>
    </row>
    <row r="508" spans="1:9" ht="13.5" x14ac:dyDescent="0.25">
      <c r="A508" s="94" t="s">
        <v>767</v>
      </c>
      <c r="B508" s="95" t="s">
        <v>285</v>
      </c>
      <c r="C508" s="94" t="s">
        <v>767</v>
      </c>
      <c r="D508" s="94" t="s">
        <v>256</v>
      </c>
      <c r="E508" s="96">
        <v>31818</v>
      </c>
      <c r="F508" s="97">
        <f ca="1">DATEDIF(E508,TODAY(),"Y")</f>
        <v>29</v>
      </c>
      <c r="G508" s="98" t="s">
        <v>267</v>
      </c>
      <c r="H508" s="99">
        <v>46110</v>
      </c>
      <c r="I508" s="100">
        <v>4</v>
      </c>
    </row>
    <row r="509" spans="1:9" ht="13.5" x14ac:dyDescent="0.25">
      <c r="A509" s="94" t="s">
        <v>767</v>
      </c>
      <c r="B509" s="95" t="s">
        <v>245</v>
      </c>
      <c r="C509" s="94" t="s">
        <v>767</v>
      </c>
      <c r="D509" s="94" t="s">
        <v>247</v>
      </c>
      <c r="E509" s="96">
        <v>31857</v>
      </c>
      <c r="F509" s="97">
        <f ca="1">DATEDIF(E509,TODAY(),"Y")</f>
        <v>29</v>
      </c>
      <c r="G509" s="98"/>
      <c r="H509" s="99">
        <v>23020</v>
      </c>
      <c r="I509" s="100">
        <v>4</v>
      </c>
    </row>
    <row r="510" spans="1:9" ht="13.5" x14ac:dyDescent="0.25">
      <c r="A510" s="94" t="s">
        <v>767</v>
      </c>
      <c r="B510" s="95" t="s">
        <v>271</v>
      </c>
      <c r="C510" s="94" t="s">
        <v>767</v>
      </c>
      <c r="D510" s="94" t="s">
        <v>247</v>
      </c>
      <c r="E510" s="96">
        <v>31924</v>
      </c>
      <c r="F510" s="97">
        <f ca="1">DATEDIF(E510,TODAY(),"Y")</f>
        <v>29</v>
      </c>
      <c r="G510" s="98"/>
      <c r="H510" s="99">
        <v>58650</v>
      </c>
      <c r="I510" s="100">
        <v>4</v>
      </c>
    </row>
    <row r="511" spans="1:9" ht="13.5" x14ac:dyDescent="0.25">
      <c r="A511" s="94" t="s">
        <v>767</v>
      </c>
      <c r="B511" s="95" t="s">
        <v>271</v>
      </c>
      <c r="C511" s="94" t="s">
        <v>767</v>
      </c>
      <c r="D511" s="94" t="s">
        <v>256</v>
      </c>
      <c r="E511" s="96">
        <v>32051</v>
      </c>
      <c r="F511" s="97">
        <f ca="1">DATEDIF(E511,TODAY(),"Y")</f>
        <v>29</v>
      </c>
      <c r="G511" s="98" t="s">
        <v>257</v>
      </c>
      <c r="H511" s="99">
        <v>24090</v>
      </c>
      <c r="I511" s="100">
        <v>4</v>
      </c>
    </row>
    <row r="512" spans="1:9" ht="13.5" x14ac:dyDescent="0.25">
      <c r="A512" s="94" t="s">
        <v>767</v>
      </c>
      <c r="B512" s="95" t="s">
        <v>271</v>
      </c>
      <c r="C512" s="94" t="s">
        <v>767</v>
      </c>
      <c r="D512" s="94" t="s">
        <v>247</v>
      </c>
      <c r="E512" s="96">
        <v>32092</v>
      </c>
      <c r="F512" s="97">
        <f ca="1">DATEDIF(E512,TODAY(),"Y")</f>
        <v>28</v>
      </c>
      <c r="G512" s="98"/>
      <c r="H512" s="99">
        <v>79380</v>
      </c>
      <c r="I512" s="100">
        <v>1</v>
      </c>
    </row>
    <row r="513" spans="1:9" ht="13.5" x14ac:dyDescent="0.25">
      <c r="A513" s="94" t="s">
        <v>767</v>
      </c>
      <c r="B513" s="95" t="s">
        <v>271</v>
      </c>
      <c r="C513" s="94" t="s">
        <v>767</v>
      </c>
      <c r="D513" s="94" t="s">
        <v>256</v>
      </c>
      <c r="E513" s="96">
        <v>32150</v>
      </c>
      <c r="F513" s="97">
        <f ca="1">DATEDIF(E513,TODAY(),"Y")</f>
        <v>28</v>
      </c>
      <c r="G513" s="98" t="s">
        <v>267</v>
      </c>
      <c r="H513" s="99">
        <v>77740</v>
      </c>
      <c r="I513" s="100">
        <v>1</v>
      </c>
    </row>
    <row r="514" spans="1:9" ht="13.5" x14ac:dyDescent="0.25">
      <c r="A514" s="94" t="s">
        <v>767</v>
      </c>
      <c r="B514" s="95" t="s">
        <v>271</v>
      </c>
      <c r="C514" s="94" t="s">
        <v>767</v>
      </c>
      <c r="D514" s="94" t="s">
        <v>256</v>
      </c>
      <c r="E514" s="96">
        <v>32200</v>
      </c>
      <c r="F514" s="97">
        <f ca="1">DATEDIF(E514,TODAY(),"Y")</f>
        <v>28</v>
      </c>
      <c r="G514" s="98" t="s">
        <v>262</v>
      </c>
      <c r="H514" s="99">
        <v>54500</v>
      </c>
      <c r="I514" s="100">
        <v>5</v>
      </c>
    </row>
    <row r="515" spans="1:9" ht="13.5" x14ac:dyDescent="0.25">
      <c r="A515" s="94" t="s">
        <v>767</v>
      </c>
      <c r="B515" s="95" t="s">
        <v>271</v>
      </c>
      <c r="C515" s="94" t="s">
        <v>767</v>
      </c>
      <c r="D515" s="94" t="s">
        <v>247</v>
      </c>
      <c r="E515" s="96">
        <v>32205</v>
      </c>
      <c r="F515" s="97">
        <f ca="1">DATEDIF(E515,TODAY(),"Y")</f>
        <v>28</v>
      </c>
      <c r="G515" s="98"/>
      <c r="H515" s="99">
        <v>52750</v>
      </c>
      <c r="I515" s="100">
        <v>1</v>
      </c>
    </row>
    <row r="516" spans="1:9" ht="13.5" x14ac:dyDescent="0.25">
      <c r="A516" s="94" t="s">
        <v>767</v>
      </c>
      <c r="B516" s="95" t="s">
        <v>271</v>
      </c>
      <c r="C516" s="94" t="s">
        <v>767</v>
      </c>
      <c r="D516" s="94" t="s">
        <v>256</v>
      </c>
      <c r="E516" s="96">
        <v>32216</v>
      </c>
      <c r="F516" s="97">
        <f ca="1">DATEDIF(E516,TODAY(),"Y")</f>
        <v>28</v>
      </c>
      <c r="G516" s="98" t="s">
        <v>267</v>
      </c>
      <c r="H516" s="99">
        <v>79400</v>
      </c>
      <c r="I516" s="100">
        <v>4</v>
      </c>
    </row>
    <row r="517" spans="1:9" ht="13.5" x14ac:dyDescent="0.25">
      <c r="A517" s="94" t="s">
        <v>767</v>
      </c>
      <c r="B517" s="95" t="s">
        <v>285</v>
      </c>
      <c r="C517" s="94" t="s">
        <v>767</v>
      </c>
      <c r="D517" s="94" t="s">
        <v>256</v>
      </c>
      <c r="E517" s="96">
        <v>32263</v>
      </c>
      <c r="F517" s="97">
        <f ca="1">DATEDIF(E517,TODAY(),"Y")</f>
        <v>28</v>
      </c>
      <c r="G517" s="98" t="s">
        <v>276</v>
      </c>
      <c r="H517" s="99">
        <v>71680</v>
      </c>
      <c r="I517" s="100">
        <v>4</v>
      </c>
    </row>
    <row r="518" spans="1:9" ht="13.5" x14ac:dyDescent="0.25">
      <c r="A518" s="94" t="s">
        <v>767</v>
      </c>
      <c r="B518" s="95" t="s">
        <v>245</v>
      </c>
      <c r="C518" s="94" t="s">
        <v>767</v>
      </c>
      <c r="D518" s="94" t="s">
        <v>247</v>
      </c>
      <c r="E518" s="96">
        <v>32268</v>
      </c>
      <c r="F518" s="97">
        <f ca="1">DATEDIF(E518,TODAY(),"Y")</f>
        <v>28</v>
      </c>
      <c r="G518" s="98"/>
      <c r="H518" s="99">
        <v>50840</v>
      </c>
      <c r="I518" s="100">
        <v>4</v>
      </c>
    </row>
    <row r="519" spans="1:9" ht="13.5" x14ac:dyDescent="0.25">
      <c r="A519" s="94" t="s">
        <v>767</v>
      </c>
      <c r="B519" s="95" t="s">
        <v>245</v>
      </c>
      <c r="C519" s="94" t="s">
        <v>767</v>
      </c>
      <c r="D519" s="94" t="s">
        <v>247</v>
      </c>
      <c r="E519" s="96">
        <v>32328</v>
      </c>
      <c r="F519" s="97">
        <f ca="1">DATEDIF(E519,TODAY(),"Y")</f>
        <v>28</v>
      </c>
      <c r="G519" s="98"/>
      <c r="H519" s="99">
        <v>47590</v>
      </c>
      <c r="I519" s="100">
        <v>3</v>
      </c>
    </row>
    <row r="520" spans="1:9" ht="13.5" x14ac:dyDescent="0.25">
      <c r="A520" s="94" t="s">
        <v>767</v>
      </c>
      <c r="B520" s="95" t="s">
        <v>245</v>
      </c>
      <c r="C520" s="94" t="s">
        <v>767</v>
      </c>
      <c r="D520" s="94" t="s">
        <v>247</v>
      </c>
      <c r="E520" s="96">
        <v>32348</v>
      </c>
      <c r="F520" s="97">
        <f ca="1">DATEDIF(E520,TODAY(),"Y")</f>
        <v>28</v>
      </c>
      <c r="G520" s="98"/>
      <c r="H520" s="99">
        <v>60550</v>
      </c>
      <c r="I520" s="100">
        <v>2</v>
      </c>
    </row>
    <row r="521" spans="1:9" ht="13.5" x14ac:dyDescent="0.25">
      <c r="A521" s="94" t="s">
        <v>767</v>
      </c>
      <c r="B521" s="95" t="s">
        <v>245</v>
      </c>
      <c r="C521" s="94" t="s">
        <v>767</v>
      </c>
      <c r="D521" s="94" t="s">
        <v>261</v>
      </c>
      <c r="E521" s="96">
        <v>32361</v>
      </c>
      <c r="F521" s="97">
        <f ca="1">DATEDIF(E521,TODAY(),"Y")</f>
        <v>28</v>
      </c>
      <c r="G521" s="98" t="s">
        <v>257</v>
      </c>
      <c r="H521" s="99">
        <v>46380</v>
      </c>
      <c r="I521" s="100">
        <v>3</v>
      </c>
    </row>
    <row r="522" spans="1:9" ht="13.5" x14ac:dyDescent="0.25">
      <c r="A522" s="94" t="s">
        <v>767</v>
      </c>
      <c r="B522" s="95" t="s">
        <v>271</v>
      </c>
      <c r="C522" s="94" t="s">
        <v>767</v>
      </c>
      <c r="D522" s="94" t="s">
        <v>247</v>
      </c>
      <c r="E522" s="96">
        <v>32639</v>
      </c>
      <c r="F522" s="97">
        <f ca="1">DATEDIF(E522,TODAY(),"Y")</f>
        <v>27</v>
      </c>
      <c r="G522" s="98"/>
      <c r="H522" s="99">
        <v>44720</v>
      </c>
      <c r="I522" s="100">
        <v>2</v>
      </c>
    </row>
    <row r="523" spans="1:9" ht="13.5" x14ac:dyDescent="0.25">
      <c r="A523" s="94" t="s">
        <v>767</v>
      </c>
      <c r="B523" s="95" t="s">
        <v>271</v>
      </c>
      <c r="C523" s="94" t="s">
        <v>767</v>
      </c>
      <c r="D523" s="94" t="s">
        <v>256</v>
      </c>
      <c r="E523" s="96">
        <v>32751</v>
      </c>
      <c r="F523" s="97">
        <f ca="1">DATEDIF(E523,TODAY(),"Y")</f>
        <v>27</v>
      </c>
      <c r="G523" s="98" t="s">
        <v>257</v>
      </c>
      <c r="H523" s="99">
        <v>23320</v>
      </c>
      <c r="I523" s="100">
        <v>4</v>
      </c>
    </row>
    <row r="524" spans="1:9" ht="13.5" x14ac:dyDescent="0.25">
      <c r="A524" s="94" t="s">
        <v>767</v>
      </c>
      <c r="B524" s="95" t="s">
        <v>285</v>
      </c>
      <c r="C524" s="94" t="s">
        <v>767</v>
      </c>
      <c r="D524" s="94" t="s">
        <v>256</v>
      </c>
      <c r="E524" s="96">
        <v>32839</v>
      </c>
      <c r="F524" s="97">
        <f ca="1">DATEDIF(E524,TODAY(),"Y")</f>
        <v>26</v>
      </c>
      <c r="G524" s="98" t="s">
        <v>276</v>
      </c>
      <c r="H524" s="99">
        <v>63440</v>
      </c>
      <c r="I524" s="100">
        <v>3</v>
      </c>
    </row>
    <row r="525" spans="1:9" ht="13.5" x14ac:dyDescent="0.25">
      <c r="A525" s="94" t="s">
        <v>767</v>
      </c>
      <c r="B525" s="95" t="s">
        <v>271</v>
      </c>
      <c r="C525" s="94" t="s">
        <v>767</v>
      </c>
      <c r="D525" s="94" t="s">
        <v>256</v>
      </c>
      <c r="E525" s="96">
        <v>32859</v>
      </c>
      <c r="F525" s="97">
        <f ca="1">DATEDIF(E525,TODAY(),"Y")</f>
        <v>26</v>
      </c>
      <c r="G525" s="98" t="s">
        <v>267</v>
      </c>
      <c r="H525" s="99">
        <v>69420</v>
      </c>
      <c r="I525" s="100">
        <v>2</v>
      </c>
    </row>
    <row r="526" spans="1:9" ht="13.5" x14ac:dyDescent="0.25">
      <c r="A526" s="94" t="s">
        <v>767</v>
      </c>
      <c r="B526" s="95" t="s">
        <v>271</v>
      </c>
      <c r="C526" s="94" t="s">
        <v>767</v>
      </c>
      <c r="D526" s="94" t="s">
        <v>256</v>
      </c>
      <c r="E526" s="96">
        <v>32912</v>
      </c>
      <c r="F526" s="97">
        <f ca="1">DATEDIF(E526,TODAY(),"Y")</f>
        <v>26</v>
      </c>
      <c r="G526" s="98" t="s">
        <v>257</v>
      </c>
      <c r="H526" s="99">
        <v>62688</v>
      </c>
      <c r="I526" s="100">
        <v>2</v>
      </c>
    </row>
    <row r="527" spans="1:9" ht="13.5" x14ac:dyDescent="0.25">
      <c r="A527" s="94" t="s">
        <v>767</v>
      </c>
      <c r="B527" s="95" t="s">
        <v>271</v>
      </c>
      <c r="C527" s="94" t="s">
        <v>767</v>
      </c>
      <c r="D527" s="94" t="s">
        <v>247</v>
      </c>
      <c r="E527" s="96">
        <v>33168</v>
      </c>
      <c r="F527" s="97">
        <f ca="1">DATEDIF(E527,TODAY(),"Y")</f>
        <v>26</v>
      </c>
      <c r="G527" s="98"/>
      <c r="H527" s="99">
        <v>56650</v>
      </c>
      <c r="I527" s="100">
        <v>1</v>
      </c>
    </row>
    <row r="528" spans="1:9" ht="13.5" x14ac:dyDescent="0.25">
      <c r="A528" s="94" t="s">
        <v>767</v>
      </c>
      <c r="B528" s="95" t="s">
        <v>285</v>
      </c>
      <c r="C528" s="94" t="s">
        <v>767</v>
      </c>
      <c r="D528" s="94" t="s">
        <v>247</v>
      </c>
      <c r="E528" s="96">
        <v>33348</v>
      </c>
      <c r="F528" s="97">
        <f ca="1">DATEDIF(E528,TODAY(),"Y")</f>
        <v>25</v>
      </c>
      <c r="G528" s="98"/>
      <c r="H528" s="99">
        <v>85980</v>
      </c>
      <c r="I528" s="100">
        <v>2</v>
      </c>
    </row>
    <row r="529" spans="1:9" ht="13.5" x14ac:dyDescent="0.25">
      <c r="A529" s="94" t="s">
        <v>767</v>
      </c>
      <c r="B529" s="95" t="s">
        <v>280</v>
      </c>
      <c r="C529" s="94" t="s">
        <v>767</v>
      </c>
      <c r="D529" s="94" t="s">
        <v>256</v>
      </c>
      <c r="E529" s="96">
        <v>33383</v>
      </c>
      <c r="F529" s="97">
        <f ca="1">DATEDIF(E529,TODAY(),"Y")</f>
        <v>25</v>
      </c>
      <c r="G529" s="98" t="s">
        <v>262</v>
      </c>
      <c r="H529" s="99">
        <v>88820</v>
      </c>
      <c r="I529" s="100">
        <v>2</v>
      </c>
    </row>
    <row r="530" spans="1:9" ht="13.5" x14ac:dyDescent="0.25">
      <c r="A530" s="94" t="s">
        <v>767</v>
      </c>
      <c r="B530" s="95" t="s">
        <v>271</v>
      </c>
      <c r="C530" s="94" t="s">
        <v>767</v>
      </c>
      <c r="D530" s="94" t="s">
        <v>247</v>
      </c>
      <c r="E530" s="96">
        <v>33416</v>
      </c>
      <c r="F530" s="97">
        <f ca="1">DATEDIF(E530,TODAY(),"Y")</f>
        <v>25</v>
      </c>
      <c r="G530" s="98"/>
      <c r="H530" s="99">
        <v>33120</v>
      </c>
      <c r="I530" s="100">
        <v>2</v>
      </c>
    </row>
    <row r="531" spans="1:9" ht="13.5" x14ac:dyDescent="0.25">
      <c r="A531" s="94" t="s">
        <v>767</v>
      </c>
      <c r="B531" s="95" t="s">
        <v>245</v>
      </c>
      <c r="C531" s="94" t="s">
        <v>767</v>
      </c>
      <c r="D531" s="94" t="s">
        <v>261</v>
      </c>
      <c r="E531" s="96">
        <v>33483</v>
      </c>
      <c r="F531" s="97">
        <f ca="1">DATEDIF(E531,TODAY(),"Y")</f>
        <v>25</v>
      </c>
      <c r="G531" s="98" t="s">
        <v>283</v>
      </c>
      <c r="H531" s="99">
        <v>10700</v>
      </c>
      <c r="I531" s="100">
        <v>4</v>
      </c>
    </row>
    <row r="532" spans="1:9" ht="13.5" x14ac:dyDescent="0.25">
      <c r="A532" s="94" t="s">
        <v>767</v>
      </c>
      <c r="B532" s="95" t="s">
        <v>280</v>
      </c>
      <c r="C532" s="94" t="s">
        <v>767</v>
      </c>
      <c r="D532" s="94" t="s">
        <v>247</v>
      </c>
      <c r="E532" s="96">
        <v>33605</v>
      </c>
      <c r="F532" s="97">
        <f ca="1">DATEDIF(E532,TODAY(),"Y")</f>
        <v>24</v>
      </c>
      <c r="G532" s="98"/>
      <c r="H532" s="99">
        <v>76870</v>
      </c>
      <c r="I532" s="100">
        <v>5</v>
      </c>
    </row>
    <row r="533" spans="1:9" ht="13.5" x14ac:dyDescent="0.25">
      <c r="A533" s="94" t="s">
        <v>767</v>
      </c>
      <c r="B533" s="95" t="s">
        <v>245</v>
      </c>
      <c r="C533" s="94" t="s">
        <v>767</v>
      </c>
      <c r="D533" s="94" t="s">
        <v>256</v>
      </c>
      <c r="E533" s="96">
        <v>33679</v>
      </c>
      <c r="F533" s="97">
        <f ca="1">DATEDIF(E533,TODAY(),"Y")</f>
        <v>24</v>
      </c>
      <c r="G533" s="98" t="s">
        <v>257</v>
      </c>
      <c r="H533" s="99">
        <v>50570</v>
      </c>
      <c r="I533" s="100">
        <v>4</v>
      </c>
    </row>
    <row r="534" spans="1:9" ht="13.5" x14ac:dyDescent="0.25">
      <c r="A534" s="94" t="s">
        <v>767</v>
      </c>
      <c r="B534" s="95" t="s">
        <v>245</v>
      </c>
      <c r="C534" s="94" t="s">
        <v>767</v>
      </c>
      <c r="D534" s="94" t="s">
        <v>256</v>
      </c>
      <c r="E534" s="96">
        <v>33784</v>
      </c>
      <c r="F534" s="97">
        <f ca="1">DATEDIF(E534,TODAY(),"Y")</f>
        <v>24</v>
      </c>
      <c r="G534" s="98" t="s">
        <v>262</v>
      </c>
      <c r="H534" s="99">
        <v>61148</v>
      </c>
      <c r="I534" s="100">
        <v>2</v>
      </c>
    </row>
    <row r="535" spans="1:9" ht="13.5" x14ac:dyDescent="0.25">
      <c r="A535" s="94" t="s">
        <v>767</v>
      </c>
      <c r="B535" s="95" t="s">
        <v>285</v>
      </c>
      <c r="C535" s="94" t="s">
        <v>767</v>
      </c>
      <c r="D535" s="94" t="s">
        <v>247</v>
      </c>
      <c r="E535" s="96">
        <v>33836</v>
      </c>
      <c r="F535" s="97">
        <f ca="1">DATEDIF(E535,TODAY(),"Y")</f>
        <v>24</v>
      </c>
      <c r="G535" s="98"/>
      <c r="H535" s="99">
        <v>73190</v>
      </c>
      <c r="I535" s="100">
        <v>1</v>
      </c>
    </row>
    <row r="536" spans="1:9" ht="13.5" x14ac:dyDescent="0.25">
      <c r="A536" s="94" t="s">
        <v>767</v>
      </c>
      <c r="B536" s="95" t="s">
        <v>245</v>
      </c>
      <c r="C536" s="94" t="s">
        <v>767</v>
      </c>
      <c r="D536" s="94" t="s">
        <v>256</v>
      </c>
      <c r="E536" s="96">
        <v>33841</v>
      </c>
      <c r="F536" s="97">
        <f ca="1">DATEDIF(E536,TODAY(),"Y")</f>
        <v>24</v>
      </c>
      <c r="G536" s="98" t="s">
        <v>276</v>
      </c>
      <c r="H536" s="99">
        <v>29760</v>
      </c>
      <c r="I536" s="100">
        <v>2</v>
      </c>
    </row>
    <row r="537" spans="1:9" ht="13.5" x14ac:dyDescent="0.25">
      <c r="A537" s="94" t="s">
        <v>767</v>
      </c>
      <c r="B537" s="95" t="s">
        <v>245</v>
      </c>
      <c r="C537" s="94" t="s">
        <v>767</v>
      </c>
      <c r="D537" s="94" t="s">
        <v>256</v>
      </c>
      <c r="E537" s="96">
        <v>33841</v>
      </c>
      <c r="F537" s="97">
        <f ca="1">DATEDIF(E537,TODAY(),"Y")</f>
        <v>24</v>
      </c>
      <c r="G537" s="98" t="s">
        <v>276</v>
      </c>
      <c r="H537" s="99">
        <v>29760</v>
      </c>
      <c r="I537" s="100">
        <v>2</v>
      </c>
    </row>
    <row r="538" spans="1:9" ht="13.5" x14ac:dyDescent="0.25">
      <c r="A538" s="94" t="s">
        <v>767</v>
      </c>
      <c r="B538" s="95" t="s">
        <v>285</v>
      </c>
      <c r="C538" s="94" t="s">
        <v>767</v>
      </c>
      <c r="D538" s="94" t="s">
        <v>256</v>
      </c>
      <c r="E538" s="96">
        <v>33859</v>
      </c>
      <c r="F538" s="97">
        <f ca="1">DATEDIF(E538,TODAY(),"Y")</f>
        <v>24</v>
      </c>
      <c r="G538" s="98" t="s">
        <v>276</v>
      </c>
      <c r="H538" s="99">
        <v>72640</v>
      </c>
      <c r="I538" s="100">
        <v>3</v>
      </c>
    </row>
    <row r="539" spans="1:9" ht="13.5" x14ac:dyDescent="0.25">
      <c r="A539" s="94" t="s">
        <v>767</v>
      </c>
      <c r="B539" s="95" t="s">
        <v>271</v>
      </c>
      <c r="C539" s="94" t="s">
        <v>767</v>
      </c>
      <c r="D539" s="94" t="s">
        <v>256</v>
      </c>
      <c r="E539" s="96">
        <v>33909</v>
      </c>
      <c r="F539" s="97">
        <f ca="1">DATEDIF(E539,TODAY(),"Y")</f>
        <v>24</v>
      </c>
      <c r="G539" s="98" t="s">
        <v>257</v>
      </c>
      <c r="H539" s="99">
        <v>47340</v>
      </c>
      <c r="I539" s="100">
        <v>2</v>
      </c>
    </row>
    <row r="540" spans="1:9" ht="13.5" x14ac:dyDescent="0.25">
      <c r="A540" s="94" t="s">
        <v>767</v>
      </c>
      <c r="B540" s="95" t="s">
        <v>245</v>
      </c>
      <c r="C540" s="94" t="s">
        <v>767</v>
      </c>
      <c r="D540" s="94" t="s">
        <v>256</v>
      </c>
      <c r="E540" s="96">
        <v>33976</v>
      </c>
      <c r="F540" s="97">
        <f ca="1">DATEDIF(E540,TODAY(),"Y")</f>
        <v>23</v>
      </c>
      <c r="G540" s="98" t="s">
        <v>262</v>
      </c>
      <c r="H540" s="99">
        <v>72700</v>
      </c>
      <c r="I540" s="100">
        <v>5</v>
      </c>
    </row>
    <row r="541" spans="1:9" ht="13.5" x14ac:dyDescent="0.25">
      <c r="A541" s="94" t="s">
        <v>767</v>
      </c>
      <c r="B541" s="95" t="s">
        <v>285</v>
      </c>
      <c r="C541" s="94" t="s">
        <v>767</v>
      </c>
      <c r="D541" s="94" t="s">
        <v>247</v>
      </c>
      <c r="E541" s="96">
        <v>33991</v>
      </c>
      <c r="F541" s="97">
        <f ca="1">DATEDIF(E541,TODAY(),"Y")</f>
        <v>23</v>
      </c>
      <c r="G541" s="98"/>
      <c r="H541" s="99">
        <v>60070</v>
      </c>
      <c r="I541" s="100">
        <v>2</v>
      </c>
    </row>
    <row r="542" spans="1:9" ht="13.5" x14ac:dyDescent="0.25">
      <c r="A542" s="94" t="s">
        <v>767</v>
      </c>
      <c r="B542" s="95" t="s">
        <v>285</v>
      </c>
      <c r="C542" s="94" t="s">
        <v>767</v>
      </c>
      <c r="D542" s="94" t="s">
        <v>256</v>
      </c>
      <c r="E542" s="96">
        <v>34218</v>
      </c>
      <c r="F542" s="97">
        <f ca="1">DATEDIF(E542,TODAY(),"Y")</f>
        <v>23</v>
      </c>
      <c r="G542" s="98" t="s">
        <v>257</v>
      </c>
      <c r="H542" s="99">
        <v>63270</v>
      </c>
      <c r="I542" s="100">
        <v>1</v>
      </c>
    </row>
    <row r="543" spans="1:9" ht="13.5" x14ac:dyDescent="0.25">
      <c r="A543" s="94" t="s">
        <v>767</v>
      </c>
      <c r="B543" s="95" t="s">
        <v>245</v>
      </c>
      <c r="C543" s="94" t="s">
        <v>767</v>
      </c>
      <c r="D543" s="94" t="s">
        <v>247</v>
      </c>
      <c r="E543" s="96">
        <v>34231</v>
      </c>
      <c r="F543" s="97">
        <f ca="1">DATEDIF(E543,TODAY(),"Y")</f>
        <v>23</v>
      </c>
      <c r="G543" s="98"/>
      <c r="H543" s="99">
        <v>49530</v>
      </c>
      <c r="I543" s="100">
        <v>4</v>
      </c>
    </row>
    <row r="544" spans="1:9" ht="13.5" x14ac:dyDescent="0.25">
      <c r="A544" s="94" t="s">
        <v>767</v>
      </c>
      <c r="B544" s="95" t="s">
        <v>285</v>
      </c>
      <c r="C544" s="94" t="s">
        <v>767</v>
      </c>
      <c r="D544" s="94" t="s">
        <v>256</v>
      </c>
      <c r="E544" s="96">
        <v>34306</v>
      </c>
      <c r="F544" s="97">
        <f ca="1">DATEDIF(E544,TODAY(),"Y")</f>
        <v>22</v>
      </c>
      <c r="G544" s="98" t="s">
        <v>283</v>
      </c>
      <c r="H544" s="99">
        <v>34060</v>
      </c>
      <c r="I544" s="100">
        <v>2</v>
      </c>
    </row>
    <row r="545" spans="1:9" ht="13.5" x14ac:dyDescent="0.25">
      <c r="A545" s="94" t="s">
        <v>767</v>
      </c>
      <c r="B545" s="95" t="s">
        <v>285</v>
      </c>
      <c r="C545" s="94" t="s">
        <v>767</v>
      </c>
      <c r="D545" s="94" t="s">
        <v>256</v>
      </c>
      <c r="E545" s="96">
        <v>34383</v>
      </c>
      <c r="F545" s="97">
        <f ca="1">DATEDIF(E545,TODAY(),"Y")</f>
        <v>22</v>
      </c>
      <c r="G545" s="98" t="s">
        <v>262</v>
      </c>
      <c r="H545" s="99">
        <v>24340</v>
      </c>
      <c r="I545" s="100">
        <v>4</v>
      </c>
    </row>
    <row r="546" spans="1:9" ht="13.5" x14ac:dyDescent="0.25">
      <c r="A546" s="94" t="s">
        <v>767</v>
      </c>
      <c r="B546" s="95" t="s">
        <v>251</v>
      </c>
      <c r="C546" s="94" t="s">
        <v>767</v>
      </c>
      <c r="D546" s="94" t="s">
        <v>247</v>
      </c>
      <c r="E546" s="96">
        <v>34389</v>
      </c>
      <c r="F546" s="97">
        <f ca="1">DATEDIF(E546,TODAY(),"Y")</f>
        <v>22</v>
      </c>
      <c r="G546" s="98"/>
      <c r="H546" s="99">
        <v>36230</v>
      </c>
      <c r="I546" s="100">
        <v>2</v>
      </c>
    </row>
    <row r="547" spans="1:9" ht="13.5" x14ac:dyDescent="0.25">
      <c r="A547" s="94" t="s">
        <v>767</v>
      </c>
      <c r="B547" s="95" t="s">
        <v>245</v>
      </c>
      <c r="C547" s="94" t="s">
        <v>767</v>
      </c>
      <c r="D547" s="94" t="s">
        <v>256</v>
      </c>
      <c r="E547" s="96">
        <v>34511</v>
      </c>
      <c r="F547" s="97">
        <f ca="1">DATEDIF(E547,TODAY(),"Y")</f>
        <v>22</v>
      </c>
      <c r="G547" s="98" t="s">
        <v>267</v>
      </c>
      <c r="H547" s="99">
        <v>22870</v>
      </c>
      <c r="I547" s="100">
        <v>3</v>
      </c>
    </row>
    <row r="548" spans="1:9" ht="13.5" x14ac:dyDescent="0.25">
      <c r="A548" s="94" t="s">
        <v>767</v>
      </c>
      <c r="B548" s="95" t="s">
        <v>280</v>
      </c>
      <c r="C548" s="94" t="s">
        <v>767</v>
      </c>
      <c r="D548" s="94" t="s">
        <v>261</v>
      </c>
      <c r="E548" s="96">
        <v>34516</v>
      </c>
      <c r="F548" s="97">
        <f ca="1">DATEDIF(E548,TODAY(),"Y")</f>
        <v>22</v>
      </c>
      <c r="G548" s="98" t="s">
        <v>257</v>
      </c>
      <c r="H548" s="99">
        <v>31205</v>
      </c>
      <c r="I548" s="100">
        <v>2</v>
      </c>
    </row>
    <row r="549" spans="1:9" ht="13.5" x14ac:dyDescent="0.25">
      <c r="A549" s="94" t="s">
        <v>767</v>
      </c>
      <c r="B549" s="95" t="s">
        <v>251</v>
      </c>
      <c r="C549" s="94" t="s">
        <v>767</v>
      </c>
      <c r="D549" s="94" t="s">
        <v>256</v>
      </c>
      <c r="E549" s="96">
        <v>34608</v>
      </c>
      <c r="F549" s="97">
        <f ca="1">DATEDIF(E549,TODAY(),"Y")</f>
        <v>22</v>
      </c>
      <c r="G549" s="98" t="s">
        <v>262</v>
      </c>
      <c r="H549" s="99">
        <v>73740</v>
      </c>
      <c r="I549" s="100">
        <v>4</v>
      </c>
    </row>
    <row r="550" spans="1:9" ht="13.5" x14ac:dyDescent="0.25">
      <c r="A550" s="94" t="s">
        <v>767</v>
      </c>
      <c r="B550" s="95" t="s">
        <v>245</v>
      </c>
      <c r="C550" s="94" t="s">
        <v>767</v>
      </c>
      <c r="D550" s="94" t="s">
        <v>252</v>
      </c>
      <c r="E550" s="96">
        <v>34636</v>
      </c>
      <c r="F550" s="97">
        <f ca="1">DATEDIF(E550,TODAY(),"Y")</f>
        <v>22</v>
      </c>
      <c r="G550" s="98"/>
      <c r="H550" s="99">
        <v>14332</v>
      </c>
      <c r="I550" s="100">
        <v>5</v>
      </c>
    </row>
    <row r="551" spans="1:9" ht="13.5" x14ac:dyDescent="0.25">
      <c r="A551" s="94" t="s">
        <v>767</v>
      </c>
      <c r="B551" s="95" t="s">
        <v>285</v>
      </c>
      <c r="C551" s="94" t="s">
        <v>767</v>
      </c>
      <c r="D551" s="94" t="s">
        <v>256</v>
      </c>
      <c r="E551" s="96">
        <v>34648</v>
      </c>
      <c r="F551" s="97">
        <f ca="1">DATEDIF(E551,TODAY(),"Y")</f>
        <v>21</v>
      </c>
      <c r="G551" s="98" t="s">
        <v>283</v>
      </c>
      <c r="H551" s="99">
        <v>61420</v>
      </c>
      <c r="I551" s="100">
        <v>4</v>
      </c>
    </row>
    <row r="552" spans="1:9" ht="13.5" x14ac:dyDescent="0.25">
      <c r="A552" s="94" t="s">
        <v>767</v>
      </c>
      <c r="B552" s="95" t="s">
        <v>271</v>
      </c>
      <c r="C552" s="94" t="s">
        <v>767</v>
      </c>
      <c r="D552" s="94" t="s">
        <v>256</v>
      </c>
      <c r="E552" s="96">
        <v>34680</v>
      </c>
      <c r="F552" s="97">
        <f ca="1">DATEDIF(E552,TODAY(),"Y")</f>
        <v>21</v>
      </c>
      <c r="G552" s="98" t="s">
        <v>276</v>
      </c>
      <c r="H552" s="99">
        <v>36890</v>
      </c>
      <c r="I552" s="100">
        <v>1</v>
      </c>
    </row>
    <row r="553" spans="1:9" ht="13.5" x14ac:dyDescent="0.25">
      <c r="A553" s="94" t="s">
        <v>767</v>
      </c>
      <c r="B553" s="95" t="s">
        <v>285</v>
      </c>
      <c r="C553" s="94" t="s">
        <v>767</v>
      </c>
      <c r="D553" s="94" t="s">
        <v>252</v>
      </c>
      <c r="E553" s="96">
        <v>34718</v>
      </c>
      <c r="F553" s="97">
        <f ca="1">DATEDIF(E553,TODAY(),"Y")</f>
        <v>21</v>
      </c>
      <c r="G553" s="98"/>
      <c r="H553" s="99">
        <v>16688</v>
      </c>
      <c r="I553" s="100">
        <v>3</v>
      </c>
    </row>
    <row r="554" spans="1:9" ht="13.5" x14ac:dyDescent="0.25">
      <c r="A554" s="94" t="s">
        <v>767</v>
      </c>
      <c r="B554" s="95" t="s">
        <v>285</v>
      </c>
      <c r="C554" s="94" t="s">
        <v>767</v>
      </c>
      <c r="D554" s="94" t="s">
        <v>261</v>
      </c>
      <c r="E554" s="96">
        <v>34774</v>
      </c>
      <c r="F554" s="97">
        <f ca="1">DATEDIF(E554,TODAY(),"Y")</f>
        <v>21</v>
      </c>
      <c r="G554" s="98" t="s">
        <v>262</v>
      </c>
      <c r="H554" s="99">
        <v>45750</v>
      </c>
      <c r="I554" s="100">
        <v>5</v>
      </c>
    </row>
    <row r="555" spans="1:9" ht="13.5" x14ac:dyDescent="0.25">
      <c r="A555" s="94" t="s">
        <v>767</v>
      </c>
      <c r="B555" s="95" t="s">
        <v>245</v>
      </c>
      <c r="C555" s="94" t="s">
        <v>767</v>
      </c>
      <c r="D555" s="94" t="s">
        <v>247</v>
      </c>
      <c r="E555" s="96">
        <v>34776</v>
      </c>
      <c r="F555" s="97">
        <f ca="1">DATEDIF(E555,TODAY(),"Y")</f>
        <v>21</v>
      </c>
      <c r="G555" s="98"/>
      <c r="H555" s="99">
        <v>47520</v>
      </c>
      <c r="I555" s="100">
        <v>1</v>
      </c>
    </row>
    <row r="556" spans="1:9" ht="13.5" x14ac:dyDescent="0.25">
      <c r="A556" s="94" t="s">
        <v>767</v>
      </c>
      <c r="B556" s="95" t="s">
        <v>271</v>
      </c>
      <c r="C556" s="94" t="s">
        <v>767</v>
      </c>
      <c r="D556" s="94" t="s">
        <v>256</v>
      </c>
      <c r="E556" s="96">
        <v>34778</v>
      </c>
      <c r="F556" s="97">
        <f ca="1">DATEDIF(E556,TODAY(),"Y")</f>
        <v>21</v>
      </c>
      <c r="G556" s="98" t="s">
        <v>267</v>
      </c>
      <c r="H556" s="99">
        <v>54580</v>
      </c>
      <c r="I556" s="100">
        <v>4</v>
      </c>
    </row>
    <row r="557" spans="1:9" ht="13.5" x14ac:dyDescent="0.25">
      <c r="A557" s="94" t="s">
        <v>767</v>
      </c>
      <c r="B557" s="95" t="s">
        <v>251</v>
      </c>
      <c r="C557" s="94" t="s">
        <v>767</v>
      </c>
      <c r="D557" s="94" t="s">
        <v>256</v>
      </c>
      <c r="E557" s="96">
        <v>34826</v>
      </c>
      <c r="F557" s="97">
        <f ca="1">DATEDIF(E557,TODAY(),"Y")</f>
        <v>21</v>
      </c>
      <c r="G557" s="98" t="s">
        <v>283</v>
      </c>
      <c r="H557" s="99">
        <v>45000</v>
      </c>
      <c r="I557" s="100">
        <v>4</v>
      </c>
    </row>
    <row r="558" spans="1:9" ht="13.5" x14ac:dyDescent="0.25">
      <c r="A558" s="94" t="s">
        <v>767</v>
      </c>
      <c r="B558" s="95" t="s">
        <v>271</v>
      </c>
      <c r="C558" s="94" t="s">
        <v>767</v>
      </c>
      <c r="D558" s="94" t="s">
        <v>256</v>
      </c>
      <c r="E558" s="96">
        <v>34885</v>
      </c>
      <c r="F558" s="97">
        <f ca="1">DATEDIF(E558,TODAY(),"Y")</f>
        <v>21</v>
      </c>
      <c r="G558" s="98" t="s">
        <v>267</v>
      </c>
      <c r="H558" s="99">
        <v>46360</v>
      </c>
      <c r="I558" s="100">
        <v>5</v>
      </c>
    </row>
    <row r="559" spans="1:9" ht="13.5" x14ac:dyDescent="0.25">
      <c r="A559" s="94" t="s">
        <v>767</v>
      </c>
      <c r="B559" s="95" t="s">
        <v>271</v>
      </c>
      <c r="C559" s="94" t="s">
        <v>767</v>
      </c>
      <c r="D559" s="94" t="s">
        <v>256</v>
      </c>
      <c r="E559" s="96">
        <v>34885</v>
      </c>
      <c r="F559" s="97">
        <f ca="1">DATEDIF(E559,TODAY(),"Y")</f>
        <v>21</v>
      </c>
      <c r="G559" s="98" t="s">
        <v>267</v>
      </c>
      <c r="H559" s="99">
        <v>46360</v>
      </c>
      <c r="I559" s="100">
        <v>5</v>
      </c>
    </row>
    <row r="560" spans="1:9" ht="13.5" x14ac:dyDescent="0.25">
      <c r="A560" s="94" t="s">
        <v>767</v>
      </c>
      <c r="B560" s="95" t="s">
        <v>280</v>
      </c>
      <c r="C560" s="94" t="s">
        <v>767</v>
      </c>
      <c r="D560" s="94" t="s">
        <v>261</v>
      </c>
      <c r="E560" s="96">
        <v>34907</v>
      </c>
      <c r="F560" s="97">
        <f ca="1">DATEDIF(E560,TODAY(),"Y")</f>
        <v>21</v>
      </c>
      <c r="G560" s="98" t="s">
        <v>283</v>
      </c>
      <c r="H560" s="99">
        <v>22475</v>
      </c>
      <c r="I560" s="100">
        <v>4</v>
      </c>
    </row>
    <row r="561" spans="1:9" ht="13.5" x14ac:dyDescent="0.25">
      <c r="A561" s="94" t="s">
        <v>767</v>
      </c>
      <c r="B561" s="95" t="s">
        <v>271</v>
      </c>
      <c r="C561" s="94" t="s">
        <v>767</v>
      </c>
      <c r="D561" s="94" t="s">
        <v>247</v>
      </c>
      <c r="E561" s="96">
        <v>34987</v>
      </c>
      <c r="F561" s="97">
        <f ca="1">DATEDIF(E561,TODAY(),"Y")</f>
        <v>21</v>
      </c>
      <c r="G561" s="98"/>
      <c r="H561" s="99">
        <v>57990</v>
      </c>
      <c r="I561" s="100">
        <v>5</v>
      </c>
    </row>
    <row r="562" spans="1:9" ht="13.5" x14ac:dyDescent="0.25">
      <c r="A562" s="94" t="s">
        <v>767</v>
      </c>
      <c r="B562" s="95" t="s">
        <v>285</v>
      </c>
      <c r="C562" s="94" t="s">
        <v>767</v>
      </c>
      <c r="D562" s="94" t="s">
        <v>252</v>
      </c>
      <c r="E562" s="96">
        <v>35030</v>
      </c>
      <c r="F562" s="97">
        <f ca="1">DATEDIF(E562,TODAY(),"Y")</f>
        <v>20</v>
      </c>
      <c r="G562" s="98"/>
      <c r="H562" s="99">
        <v>37016</v>
      </c>
      <c r="I562" s="100">
        <v>4</v>
      </c>
    </row>
    <row r="563" spans="1:9" ht="13.5" x14ac:dyDescent="0.25">
      <c r="A563" s="94" t="s">
        <v>767</v>
      </c>
      <c r="B563" s="95" t="s">
        <v>266</v>
      </c>
      <c r="C563" s="94" t="s">
        <v>767</v>
      </c>
      <c r="D563" s="94" t="s">
        <v>247</v>
      </c>
      <c r="E563" s="96">
        <v>35065</v>
      </c>
      <c r="F563" s="97">
        <f ca="1">DATEDIF(E563,TODAY(),"Y")</f>
        <v>20</v>
      </c>
      <c r="G563" s="98"/>
      <c r="H563" s="99">
        <v>71300</v>
      </c>
      <c r="I563" s="100">
        <v>5</v>
      </c>
    </row>
    <row r="564" spans="1:9" ht="13.5" x14ac:dyDescent="0.25">
      <c r="A564" s="94" t="s">
        <v>767</v>
      </c>
      <c r="B564" s="95" t="s">
        <v>271</v>
      </c>
      <c r="C564" s="94" t="s">
        <v>767</v>
      </c>
      <c r="D564" s="94" t="s">
        <v>252</v>
      </c>
      <c r="E564" s="96">
        <v>35070</v>
      </c>
      <c r="F564" s="97">
        <f ca="1">DATEDIF(E564,TODAY(),"Y")</f>
        <v>20</v>
      </c>
      <c r="G564" s="98"/>
      <c r="H564" s="99">
        <v>36052</v>
      </c>
      <c r="I564" s="100">
        <v>5</v>
      </c>
    </row>
    <row r="565" spans="1:9" ht="13.5" x14ac:dyDescent="0.25">
      <c r="A565" s="94" t="s">
        <v>767</v>
      </c>
      <c r="B565" s="95" t="s">
        <v>271</v>
      </c>
      <c r="C565" s="94" t="s">
        <v>767</v>
      </c>
      <c r="D565" s="94" t="s">
        <v>256</v>
      </c>
      <c r="E565" s="96">
        <v>35083</v>
      </c>
      <c r="F565" s="97">
        <f ca="1">DATEDIF(E565,TODAY(),"Y")</f>
        <v>20</v>
      </c>
      <c r="G565" s="98" t="s">
        <v>283</v>
      </c>
      <c r="H565" s="99">
        <v>65910</v>
      </c>
      <c r="I565" s="100">
        <v>5</v>
      </c>
    </row>
    <row r="566" spans="1:9" ht="13.5" x14ac:dyDescent="0.25">
      <c r="A566" s="94" t="s">
        <v>767</v>
      </c>
      <c r="B566" s="95" t="s">
        <v>271</v>
      </c>
      <c r="C566" s="94" t="s">
        <v>767</v>
      </c>
      <c r="D566" s="94" t="s">
        <v>256</v>
      </c>
      <c r="E566" s="96">
        <v>35226</v>
      </c>
      <c r="F566" s="97">
        <f ca="1">DATEDIF(E566,TODAY(),"Y")</f>
        <v>20</v>
      </c>
      <c r="G566" s="98" t="s">
        <v>257</v>
      </c>
      <c r="H566" s="99">
        <v>62400</v>
      </c>
      <c r="I566" s="100">
        <v>4</v>
      </c>
    </row>
    <row r="567" spans="1:9" ht="13.5" x14ac:dyDescent="0.25">
      <c r="A567" s="94" t="s">
        <v>767</v>
      </c>
      <c r="B567" s="95" t="s">
        <v>271</v>
      </c>
      <c r="C567" s="94" t="s">
        <v>767</v>
      </c>
      <c r="D567" s="94" t="s">
        <v>256</v>
      </c>
      <c r="E567" s="96">
        <v>35363</v>
      </c>
      <c r="F567" s="97">
        <f ca="1">DATEDIF(E567,TODAY(),"Y")</f>
        <v>20</v>
      </c>
      <c r="G567" s="98" t="s">
        <v>276</v>
      </c>
      <c r="H567" s="99">
        <v>48330</v>
      </c>
      <c r="I567" s="100">
        <v>1</v>
      </c>
    </row>
    <row r="568" spans="1:9" ht="13.5" x14ac:dyDescent="0.25">
      <c r="A568" s="94" t="s">
        <v>767</v>
      </c>
      <c r="B568" s="95" t="s">
        <v>285</v>
      </c>
      <c r="C568" s="94" t="s">
        <v>767</v>
      </c>
      <c r="D568" s="94" t="s">
        <v>247</v>
      </c>
      <c r="E568" s="96">
        <v>35477</v>
      </c>
      <c r="F568" s="97">
        <f ca="1">DATEDIF(E568,TODAY(),"Y")</f>
        <v>19</v>
      </c>
      <c r="G568" s="98"/>
      <c r="H568" s="99">
        <v>89640</v>
      </c>
      <c r="I568" s="100">
        <v>4</v>
      </c>
    </row>
    <row r="569" spans="1:9" ht="13.5" x14ac:dyDescent="0.25">
      <c r="A569" s="94" t="s">
        <v>767</v>
      </c>
      <c r="B569" s="95" t="s">
        <v>271</v>
      </c>
      <c r="C569" s="94" t="s">
        <v>767</v>
      </c>
      <c r="D569" s="94" t="s">
        <v>256</v>
      </c>
      <c r="E569" s="96">
        <v>35828</v>
      </c>
      <c r="F569" s="97">
        <f ca="1">DATEDIF(E569,TODAY(),"Y")</f>
        <v>18</v>
      </c>
      <c r="G569" s="98" t="s">
        <v>257</v>
      </c>
      <c r="H569" s="99">
        <v>29130</v>
      </c>
      <c r="I569" s="100">
        <v>1</v>
      </c>
    </row>
    <row r="570" spans="1:9" ht="13.5" x14ac:dyDescent="0.25">
      <c r="A570" s="94" t="s">
        <v>767</v>
      </c>
      <c r="B570" s="95" t="s">
        <v>271</v>
      </c>
      <c r="C570" s="94" t="s">
        <v>767</v>
      </c>
      <c r="D570" s="94" t="s">
        <v>261</v>
      </c>
      <c r="E570" s="96">
        <v>35939</v>
      </c>
      <c r="F570" s="97">
        <f ca="1">DATEDIF(E570,TODAY(),"Y")</f>
        <v>18</v>
      </c>
      <c r="G570" s="98" t="s">
        <v>276</v>
      </c>
      <c r="H570" s="99">
        <v>12545</v>
      </c>
      <c r="I570" s="100">
        <v>4</v>
      </c>
    </row>
    <row r="571" spans="1:9" ht="13.5" x14ac:dyDescent="0.25">
      <c r="A571" s="94" t="s">
        <v>767</v>
      </c>
      <c r="B571" s="95" t="s">
        <v>271</v>
      </c>
      <c r="C571" s="94" t="s">
        <v>767</v>
      </c>
      <c r="D571" s="94" t="s">
        <v>247</v>
      </c>
      <c r="E571" s="96">
        <v>36094</v>
      </c>
      <c r="F571" s="97">
        <f ca="1">DATEDIF(E571,TODAY(),"Y")</f>
        <v>18</v>
      </c>
      <c r="G571" s="98"/>
      <c r="H571" s="99">
        <v>60070</v>
      </c>
      <c r="I571" s="100">
        <v>3</v>
      </c>
    </row>
    <row r="572" spans="1:9" ht="13.5" x14ac:dyDescent="0.25">
      <c r="A572" s="94" t="s">
        <v>767</v>
      </c>
      <c r="B572" s="95" t="s">
        <v>285</v>
      </c>
      <c r="C572" s="94" t="s">
        <v>767</v>
      </c>
      <c r="D572" s="94" t="s">
        <v>247</v>
      </c>
      <c r="E572" s="96">
        <v>36216</v>
      </c>
      <c r="F572" s="97">
        <f ca="1">DATEDIF(E572,TODAY(),"Y")</f>
        <v>17</v>
      </c>
      <c r="G572" s="98"/>
      <c r="H572" s="99">
        <v>61580</v>
      </c>
      <c r="I572" s="100">
        <v>3</v>
      </c>
    </row>
    <row r="573" spans="1:9" ht="13.5" x14ac:dyDescent="0.25">
      <c r="A573" s="94" t="s">
        <v>767</v>
      </c>
      <c r="B573" s="95" t="s">
        <v>285</v>
      </c>
      <c r="C573" s="94" t="s">
        <v>767</v>
      </c>
      <c r="D573" s="94" t="s">
        <v>256</v>
      </c>
      <c r="E573" s="96">
        <v>36258</v>
      </c>
      <c r="F573" s="97">
        <f ca="1">DATEDIF(E573,TODAY(),"Y")</f>
        <v>17</v>
      </c>
      <c r="G573" s="98" t="s">
        <v>262</v>
      </c>
      <c r="H573" s="99">
        <v>45100</v>
      </c>
      <c r="I573" s="100">
        <v>2</v>
      </c>
    </row>
    <row r="574" spans="1:9" ht="13.5" x14ac:dyDescent="0.25">
      <c r="A574" s="94" t="s">
        <v>767</v>
      </c>
      <c r="B574" s="95" t="s">
        <v>285</v>
      </c>
      <c r="C574" s="94" t="s">
        <v>767</v>
      </c>
      <c r="D574" s="94" t="s">
        <v>256</v>
      </c>
      <c r="E574" s="96">
        <v>36391</v>
      </c>
      <c r="F574" s="97">
        <f ca="1">DATEDIF(E574,TODAY(),"Y")</f>
        <v>17</v>
      </c>
      <c r="G574" s="98" t="s">
        <v>262</v>
      </c>
      <c r="H574" s="99">
        <v>23560</v>
      </c>
      <c r="I574" s="100">
        <v>3</v>
      </c>
    </row>
    <row r="575" spans="1:9" ht="13.5" x14ac:dyDescent="0.25">
      <c r="A575" s="94" t="s">
        <v>767</v>
      </c>
      <c r="B575" s="95" t="s">
        <v>280</v>
      </c>
      <c r="C575" s="94" t="s">
        <v>767</v>
      </c>
      <c r="D575" s="94" t="s">
        <v>256</v>
      </c>
      <c r="E575" s="96">
        <v>36538</v>
      </c>
      <c r="F575" s="97">
        <f ca="1">DATEDIF(E575,TODAY(),"Y")</f>
        <v>16</v>
      </c>
      <c r="G575" s="98" t="s">
        <v>262</v>
      </c>
      <c r="H575" s="99">
        <v>76910</v>
      </c>
      <c r="I575" s="100">
        <v>2</v>
      </c>
    </row>
    <row r="576" spans="1:9" ht="13.5" x14ac:dyDescent="0.25">
      <c r="A576" s="94" t="s">
        <v>767</v>
      </c>
      <c r="B576" s="95" t="s">
        <v>285</v>
      </c>
      <c r="C576" s="94" t="s">
        <v>767</v>
      </c>
      <c r="D576" s="94" t="s">
        <v>261</v>
      </c>
      <c r="E576" s="96">
        <v>36863</v>
      </c>
      <c r="F576" s="97">
        <f ca="1">DATEDIF(E576,TODAY(),"Y")</f>
        <v>15</v>
      </c>
      <c r="G576" s="98" t="s">
        <v>283</v>
      </c>
      <c r="H576" s="99">
        <v>32900</v>
      </c>
      <c r="I576" s="100">
        <v>2</v>
      </c>
    </row>
    <row r="577" spans="1:9" ht="13.5" x14ac:dyDescent="0.25">
      <c r="A577" s="94" t="s">
        <v>767</v>
      </c>
      <c r="B577" s="95" t="s">
        <v>266</v>
      </c>
      <c r="C577" s="94" t="s">
        <v>767</v>
      </c>
      <c r="D577" s="94" t="s">
        <v>256</v>
      </c>
      <c r="E577" s="96">
        <v>37113</v>
      </c>
      <c r="F577" s="97">
        <f ca="1">DATEDIF(E577,TODAY(),"Y")</f>
        <v>15</v>
      </c>
      <c r="G577" s="98" t="s">
        <v>276</v>
      </c>
      <c r="H577" s="99">
        <v>61330</v>
      </c>
      <c r="I577" s="100">
        <v>2</v>
      </c>
    </row>
    <row r="578" spans="1:9" ht="13.5" x14ac:dyDescent="0.25">
      <c r="A578" s="94" t="s">
        <v>767</v>
      </c>
      <c r="B578" s="95" t="s">
        <v>266</v>
      </c>
      <c r="C578" s="94" t="s">
        <v>767</v>
      </c>
      <c r="D578" s="94" t="s">
        <v>261</v>
      </c>
      <c r="E578" s="96">
        <v>37413</v>
      </c>
      <c r="F578" s="97">
        <f ca="1">DATEDIF(E578,TODAY(),"Y")</f>
        <v>14</v>
      </c>
      <c r="G578" s="98" t="s">
        <v>283</v>
      </c>
      <c r="H578" s="99">
        <v>10630</v>
      </c>
      <c r="I578" s="100">
        <v>3</v>
      </c>
    </row>
    <row r="579" spans="1:9" ht="13.5" x14ac:dyDescent="0.25">
      <c r="A579" s="94" t="s">
        <v>767</v>
      </c>
      <c r="B579" s="95" t="s">
        <v>266</v>
      </c>
      <c r="C579" s="94" t="s">
        <v>767</v>
      </c>
      <c r="D579" s="94" t="s">
        <v>256</v>
      </c>
      <c r="E579" s="96">
        <v>37480</v>
      </c>
      <c r="F579" s="97">
        <f ca="1">DATEDIF(E579,TODAY(),"Y")</f>
        <v>14</v>
      </c>
      <c r="G579" s="98" t="s">
        <v>262</v>
      </c>
      <c r="H579" s="99">
        <v>62688</v>
      </c>
      <c r="I579" s="100">
        <v>3</v>
      </c>
    </row>
    <row r="580" spans="1:9" ht="13.5" x14ac:dyDescent="0.25">
      <c r="A580" s="94" t="s">
        <v>767</v>
      </c>
      <c r="B580" s="95" t="s">
        <v>271</v>
      </c>
      <c r="C580" s="94" t="s">
        <v>767</v>
      </c>
      <c r="D580" s="94" t="s">
        <v>256</v>
      </c>
      <c r="E580" s="96">
        <v>37737</v>
      </c>
      <c r="F580" s="97">
        <f ca="1">DATEDIF(E580,TODAY(),"Y")</f>
        <v>13</v>
      </c>
      <c r="G580" s="98" t="s">
        <v>283</v>
      </c>
      <c r="H580" s="99">
        <v>65880</v>
      </c>
      <c r="I580" s="100">
        <v>5</v>
      </c>
    </row>
    <row r="581" spans="1:9" ht="13.5" x14ac:dyDescent="0.25">
      <c r="A581" s="94" t="s">
        <v>767</v>
      </c>
      <c r="B581" s="95" t="s">
        <v>271</v>
      </c>
      <c r="C581" s="94" t="s">
        <v>767</v>
      </c>
      <c r="D581" s="94" t="s">
        <v>256</v>
      </c>
      <c r="E581" s="96">
        <v>37737</v>
      </c>
      <c r="F581" s="97">
        <f ca="1">DATEDIF(E581,TODAY(),"Y")</f>
        <v>13</v>
      </c>
      <c r="G581" s="98" t="s">
        <v>283</v>
      </c>
      <c r="H581" s="99">
        <v>65880</v>
      </c>
      <c r="I581" s="100">
        <v>5</v>
      </c>
    </row>
    <row r="582" spans="1:9" ht="13.5" x14ac:dyDescent="0.25">
      <c r="A582" s="94" t="s">
        <v>767</v>
      </c>
      <c r="B582" s="95" t="s">
        <v>266</v>
      </c>
      <c r="C582" s="94" t="s">
        <v>767</v>
      </c>
      <c r="D582" s="94" t="s">
        <v>256</v>
      </c>
      <c r="E582" s="96">
        <v>37907</v>
      </c>
      <c r="F582" s="97">
        <f ca="1">DATEDIF(E582,TODAY(),"Y")</f>
        <v>13</v>
      </c>
      <c r="G582" s="98" t="s">
        <v>257</v>
      </c>
      <c r="H582" s="99">
        <v>73830</v>
      </c>
      <c r="I582" s="100">
        <v>2</v>
      </c>
    </row>
    <row r="583" spans="1:9" ht="13.5" x14ac:dyDescent="0.25">
      <c r="A583" s="94" t="s">
        <v>767</v>
      </c>
      <c r="B583" s="95" t="s">
        <v>285</v>
      </c>
      <c r="C583" s="94" t="s">
        <v>767</v>
      </c>
      <c r="D583" s="94" t="s">
        <v>256</v>
      </c>
      <c r="E583" s="96">
        <v>38052</v>
      </c>
      <c r="F583" s="97">
        <f ca="1">DATEDIF(E583,TODAY(),"Y")</f>
        <v>12</v>
      </c>
      <c r="G583" s="98" t="s">
        <v>262</v>
      </c>
      <c r="H583" s="99">
        <v>42020</v>
      </c>
      <c r="I583" s="100">
        <v>5</v>
      </c>
    </row>
    <row r="584" spans="1:9" ht="13.5" x14ac:dyDescent="0.25">
      <c r="A584" s="94" t="s">
        <v>767</v>
      </c>
      <c r="B584" s="95" t="s">
        <v>285</v>
      </c>
      <c r="C584" s="94" t="s">
        <v>767</v>
      </c>
      <c r="D584" s="94" t="s">
        <v>256</v>
      </c>
      <c r="E584" s="96">
        <v>38136</v>
      </c>
      <c r="F584" s="97">
        <f ca="1">DATEDIF(E584,TODAY(),"Y")</f>
        <v>12</v>
      </c>
      <c r="G584" s="98" t="s">
        <v>257</v>
      </c>
      <c r="H584" s="99">
        <v>44650</v>
      </c>
      <c r="I584" s="100">
        <v>1</v>
      </c>
    </row>
    <row r="585" spans="1:9" ht="13.5" x14ac:dyDescent="0.25">
      <c r="A585" s="94" t="s">
        <v>767</v>
      </c>
      <c r="B585" s="95" t="s">
        <v>280</v>
      </c>
      <c r="C585" s="94" t="s">
        <v>767</v>
      </c>
      <c r="D585" s="94" t="s">
        <v>261</v>
      </c>
      <c r="E585" s="96">
        <v>38418</v>
      </c>
      <c r="F585" s="97">
        <f ca="1">DATEDIF(E585,TODAY(),"Y")</f>
        <v>11</v>
      </c>
      <c r="G585" s="98" t="s">
        <v>257</v>
      </c>
      <c r="H585" s="99">
        <v>45565</v>
      </c>
      <c r="I585" s="100">
        <v>1</v>
      </c>
    </row>
    <row r="586" spans="1:9" ht="13.5" x14ac:dyDescent="0.25">
      <c r="A586" s="94" t="s">
        <v>767</v>
      </c>
      <c r="B586" s="95" t="s">
        <v>285</v>
      </c>
      <c r="C586" s="94" t="s">
        <v>767</v>
      </c>
      <c r="D586" s="94" t="s">
        <v>256</v>
      </c>
      <c r="E586" s="96">
        <v>38554</v>
      </c>
      <c r="F586" s="97">
        <f ca="1">DATEDIF(E586,TODAY(),"Y")</f>
        <v>11</v>
      </c>
      <c r="G586" s="98" t="s">
        <v>257</v>
      </c>
      <c r="H586" s="99">
        <v>64320</v>
      </c>
      <c r="I586" s="100">
        <v>5</v>
      </c>
    </row>
    <row r="587" spans="1:9" ht="13.5" x14ac:dyDescent="0.25">
      <c r="A587" s="94" t="s">
        <v>767</v>
      </c>
      <c r="B587" s="95" t="s">
        <v>245</v>
      </c>
      <c r="C587" s="94" t="s">
        <v>767</v>
      </c>
      <c r="D587" s="94" t="s">
        <v>256</v>
      </c>
      <c r="E587" s="96">
        <v>38589</v>
      </c>
      <c r="F587" s="97">
        <f ca="1">DATEDIF(E587,TODAY(),"Y")</f>
        <v>11</v>
      </c>
      <c r="G587" s="98" t="s">
        <v>257</v>
      </c>
      <c r="H587" s="99">
        <v>24790</v>
      </c>
      <c r="I587" s="100">
        <v>3</v>
      </c>
    </row>
    <row r="588" spans="1:9" ht="13.5" x14ac:dyDescent="0.25">
      <c r="A588" s="94" t="s">
        <v>767</v>
      </c>
      <c r="B588" s="95" t="s">
        <v>271</v>
      </c>
      <c r="C588" s="94" t="s">
        <v>767</v>
      </c>
      <c r="D588" s="94" t="s">
        <v>256</v>
      </c>
      <c r="E588" s="96">
        <v>38827</v>
      </c>
      <c r="F588" s="97">
        <f ca="1">DATEDIF(E588,TODAY(),"Y")</f>
        <v>10</v>
      </c>
      <c r="G588" s="98" t="s">
        <v>257</v>
      </c>
      <c r="H588" s="99">
        <v>54190</v>
      </c>
      <c r="I588" s="100">
        <v>4</v>
      </c>
    </row>
    <row r="589" spans="1:9" ht="13.5" x14ac:dyDescent="0.25">
      <c r="A589" s="94" t="s">
        <v>767</v>
      </c>
      <c r="B589" s="95" t="s">
        <v>271</v>
      </c>
      <c r="C589" s="94" t="s">
        <v>767</v>
      </c>
      <c r="D589" s="94" t="s">
        <v>261</v>
      </c>
      <c r="E589" s="96">
        <v>38856</v>
      </c>
      <c r="F589" s="97">
        <f ca="1">DATEDIF(E589,TODAY(),"Y")</f>
        <v>10</v>
      </c>
      <c r="G589" s="98" t="s">
        <v>276</v>
      </c>
      <c r="H589" s="99">
        <v>25245</v>
      </c>
      <c r="I589" s="100">
        <v>5</v>
      </c>
    </row>
    <row r="590" spans="1:9" ht="13.5" x14ac:dyDescent="0.25">
      <c r="A590" s="94" t="s">
        <v>767</v>
      </c>
      <c r="B590" s="95" t="s">
        <v>251</v>
      </c>
      <c r="C590" s="94" t="s">
        <v>767</v>
      </c>
      <c r="D590" s="94" t="s">
        <v>261</v>
      </c>
      <c r="E590" s="102">
        <v>38944</v>
      </c>
      <c r="F590" s="97">
        <f ca="1">DATEDIF(E590,TODAY(),"Y")</f>
        <v>10</v>
      </c>
      <c r="G590" s="98" t="s">
        <v>283</v>
      </c>
      <c r="H590" s="99">
        <v>48700</v>
      </c>
      <c r="I590" s="100">
        <v>3</v>
      </c>
    </row>
    <row r="591" spans="1:9" ht="13.5" x14ac:dyDescent="0.25">
      <c r="A591" s="94" t="s">
        <v>767</v>
      </c>
      <c r="B591" s="95" t="s">
        <v>266</v>
      </c>
      <c r="C591" s="94" t="s">
        <v>767</v>
      </c>
      <c r="D591" s="94" t="s">
        <v>261</v>
      </c>
      <c r="E591" s="96">
        <v>38983</v>
      </c>
      <c r="F591" s="97">
        <f ca="1">DATEDIF(E591,TODAY(),"Y")</f>
        <v>10</v>
      </c>
      <c r="G591" s="98" t="s">
        <v>257</v>
      </c>
      <c r="H591" s="99">
        <v>11810</v>
      </c>
      <c r="I591" s="100">
        <v>1</v>
      </c>
    </row>
    <row r="592" spans="1:9" ht="13.5" x14ac:dyDescent="0.25">
      <c r="A592" s="94" t="s">
        <v>767</v>
      </c>
      <c r="B592" s="95" t="s">
        <v>271</v>
      </c>
      <c r="C592" s="94" t="s">
        <v>767</v>
      </c>
      <c r="D592" s="94" t="s">
        <v>247</v>
      </c>
      <c r="E592" s="102">
        <v>39094</v>
      </c>
      <c r="F592" s="97">
        <f ca="1">DATEDIF(E592,TODAY(),"Y")</f>
        <v>9</v>
      </c>
      <c r="G592" s="98"/>
      <c r="H592" s="99">
        <v>39550</v>
      </c>
      <c r="I592" s="100">
        <v>5</v>
      </c>
    </row>
    <row r="593" spans="1:9" ht="13.5" x14ac:dyDescent="0.25">
      <c r="A593" s="94" t="s">
        <v>767</v>
      </c>
      <c r="B593" s="95" t="s">
        <v>245</v>
      </c>
      <c r="C593" s="94" t="s">
        <v>767</v>
      </c>
      <c r="D593" s="94" t="s">
        <v>247</v>
      </c>
      <c r="E593" s="102">
        <v>39100</v>
      </c>
      <c r="F593" s="97">
        <f ca="1">DATEDIF(E593,TODAY(),"Y")</f>
        <v>9</v>
      </c>
      <c r="G593" s="98"/>
      <c r="H593" s="99">
        <v>57680</v>
      </c>
      <c r="I593" s="100">
        <v>4</v>
      </c>
    </row>
    <row r="594" spans="1:9" ht="13.5" x14ac:dyDescent="0.25">
      <c r="A594" s="94" t="s">
        <v>767</v>
      </c>
      <c r="B594" s="95" t="s">
        <v>245</v>
      </c>
      <c r="C594" s="94" t="s">
        <v>767</v>
      </c>
      <c r="D594" s="94" t="s">
        <v>261</v>
      </c>
      <c r="E594" s="102">
        <v>39111</v>
      </c>
      <c r="F594" s="97">
        <f ca="1">DATEDIF(E594,TODAY(),"Y")</f>
        <v>9</v>
      </c>
      <c r="G594" s="98" t="s">
        <v>262</v>
      </c>
      <c r="H594" s="99">
        <v>49355</v>
      </c>
      <c r="I594" s="100">
        <v>5</v>
      </c>
    </row>
    <row r="595" spans="1:9" ht="13.5" x14ac:dyDescent="0.25">
      <c r="A595" s="94" t="s">
        <v>767</v>
      </c>
      <c r="B595" s="95" t="s">
        <v>285</v>
      </c>
      <c r="C595" s="94" t="s">
        <v>767</v>
      </c>
      <c r="D595" s="94" t="s">
        <v>256</v>
      </c>
      <c r="E595" s="96">
        <v>39128</v>
      </c>
      <c r="F595" s="97">
        <f ca="1">DATEDIF(E595,TODAY(),"Y")</f>
        <v>9</v>
      </c>
      <c r="G595" s="98" t="s">
        <v>267</v>
      </c>
      <c r="H595" s="99">
        <v>59150</v>
      </c>
      <c r="I595" s="100">
        <v>4</v>
      </c>
    </row>
    <row r="596" spans="1:9" ht="13.5" x14ac:dyDescent="0.25">
      <c r="A596" s="94" t="s">
        <v>767</v>
      </c>
      <c r="B596" s="95" t="s">
        <v>285</v>
      </c>
      <c r="C596" s="94" t="s">
        <v>767</v>
      </c>
      <c r="D596" s="94" t="s">
        <v>256</v>
      </c>
      <c r="E596" s="96">
        <v>39167</v>
      </c>
      <c r="F596" s="97">
        <f ca="1">DATEDIF(E596,TODAY(),"Y")</f>
        <v>9</v>
      </c>
      <c r="G596" s="98" t="s">
        <v>267</v>
      </c>
      <c r="H596" s="99">
        <v>63206</v>
      </c>
      <c r="I596" s="100">
        <v>1</v>
      </c>
    </row>
    <row r="597" spans="1:9" ht="13.5" x14ac:dyDescent="0.25">
      <c r="A597" s="94" t="s">
        <v>767</v>
      </c>
      <c r="B597" s="95" t="s">
        <v>271</v>
      </c>
      <c r="C597" s="94" t="s">
        <v>767</v>
      </c>
      <c r="D597" s="94" t="s">
        <v>256</v>
      </c>
      <c r="E597" s="96">
        <v>39314</v>
      </c>
      <c r="F597" s="97">
        <f ca="1">DATEDIF(E597,TODAY(),"Y")</f>
        <v>9</v>
      </c>
      <c r="G597" s="98" t="s">
        <v>276</v>
      </c>
      <c r="H597" s="99">
        <v>86500</v>
      </c>
      <c r="I597" s="100">
        <v>1</v>
      </c>
    </row>
    <row r="598" spans="1:9" ht="13.5" x14ac:dyDescent="0.25">
      <c r="A598" s="101"/>
      <c r="B598" s="95"/>
      <c r="C598" s="101"/>
      <c r="D598" s="94"/>
      <c r="E598" s="96"/>
      <c r="F598" s="97"/>
      <c r="G598" s="98"/>
      <c r="H598" s="99"/>
      <c r="I598" s="100"/>
    </row>
    <row r="599" spans="1:9" ht="13.5" x14ac:dyDescent="0.25">
      <c r="A599" s="94" t="s">
        <v>856</v>
      </c>
      <c r="B599" s="95" t="s">
        <v>285</v>
      </c>
      <c r="C599" s="94" t="s">
        <v>856</v>
      </c>
      <c r="D599" s="94" t="s">
        <v>256</v>
      </c>
      <c r="E599" s="96">
        <v>31912</v>
      </c>
      <c r="F599" s="97">
        <f ca="1">DATEDIF(E599,TODAY(),"Y")</f>
        <v>29</v>
      </c>
      <c r="G599" s="98" t="s">
        <v>257</v>
      </c>
      <c r="H599" s="99">
        <v>53900</v>
      </c>
      <c r="I599" s="100">
        <v>5</v>
      </c>
    </row>
    <row r="600" spans="1:9" ht="13.5" x14ac:dyDescent="0.25">
      <c r="A600" s="94" t="s">
        <v>856</v>
      </c>
      <c r="B600" s="95" t="s">
        <v>245</v>
      </c>
      <c r="C600" s="94" t="s">
        <v>856</v>
      </c>
      <c r="D600" s="94" t="s">
        <v>252</v>
      </c>
      <c r="E600" s="96">
        <v>31946</v>
      </c>
      <c r="F600" s="97">
        <f ca="1">DATEDIF(E600,TODAY(),"Y")</f>
        <v>29</v>
      </c>
      <c r="G600" s="98"/>
      <c r="H600" s="99">
        <v>30468</v>
      </c>
      <c r="I600" s="100">
        <v>2</v>
      </c>
    </row>
    <row r="601" spans="1:9" ht="13.5" x14ac:dyDescent="0.25">
      <c r="A601" s="94" t="s">
        <v>856</v>
      </c>
      <c r="B601" s="95" t="s">
        <v>285</v>
      </c>
      <c r="C601" s="94" t="s">
        <v>856</v>
      </c>
      <c r="D601" s="94" t="s">
        <v>256</v>
      </c>
      <c r="E601" s="96">
        <v>31959</v>
      </c>
      <c r="F601" s="97">
        <f ca="1">DATEDIF(E601,TODAY(),"Y")</f>
        <v>29</v>
      </c>
      <c r="G601" s="98" t="s">
        <v>283</v>
      </c>
      <c r="H601" s="99">
        <v>24840</v>
      </c>
      <c r="I601" s="100">
        <v>1</v>
      </c>
    </row>
    <row r="602" spans="1:9" ht="13.5" x14ac:dyDescent="0.25">
      <c r="A602" s="94" t="s">
        <v>856</v>
      </c>
      <c r="B602" s="95" t="s">
        <v>251</v>
      </c>
      <c r="C602" s="94" t="s">
        <v>856</v>
      </c>
      <c r="D602" s="94" t="s">
        <v>247</v>
      </c>
      <c r="E602" s="96">
        <v>31972</v>
      </c>
      <c r="F602" s="97">
        <f ca="1">DATEDIF(E602,TODAY(),"Y")</f>
        <v>29</v>
      </c>
      <c r="G602" s="98"/>
      <c r="H602" s="99">
        <v>89450</v>
      </c>
      <c r="I602" s="100">
        <v>2</v>
      </c>
    </row>
    <row r="603" spans="1:9" ht="13.5" x14ac:dyDescent="0.25">
      <c r="A603" s="94" t="s">
        <v>856</v>
      </c>
      <c r="B603" s="95" t="s">
        <v>271</v>
      </c>
      <c r="C603" s="94" t="s">
        <v>856</v>
      </c>
      <c r="D603" s="94" t="s">
        <v>247</v>
      </c>
      <c r="E603" s="96">
        <v>32111</v>
      </c>
      <c r="F603" s="97">
        <f ca="1">DATEDIF(E603,TODAY(),"Y")</f>
        <v>28</v>
      </c>
      <c r="G603" s="98"/>
      <c r="H603" s="99">
        <v>46650</v>
      </c>
      <c r="I603" s="100">
        <v>2</v>
      </c>
    </row>
    <row r="604" spans="1:9" ht="13.5" x14ac:dyDescent="0.25">
      <c r="A604" s="94" t="s">
        <v>856</v>
      </c>
      <c r="B604" s="95" t="s">
        <v>251</v>
      </c>
      <c r="C604" s="94" t="s">
        <v>856</v>
      </c>
      <c r="D604" s="94" t="s">
        <v>256</v>
      </c>
      <c r="E604" s="96">
        <v>32144</v>
      </c>
      <c r="F604" s="97">
        <f ca="1">DATEDIF(E604,TODAY(),"Y")</f>
        <v>28</v>
      </c>
      <c r="G604" s="98" t="s">
        <v>257</v>
      </c>
      <c r="H604" s="99">
        <v>67920</v>
      </c>
      <c r="I604" s="100">
        <v>4</v>
      </c>
    </row>
    <row r="605" spans="1:9" ht="13.5" x14ac:dyDescent="0.25">
      <c r="A605" s="94" t="s">
        <v>856</v>
      </c>
      <c r="B605" s="95" t="s">
        <v>266</v>
      </c>
      <c r="C605" s="94" t="s">
        <v>856</v>
      </c>
      <c r="D605" s="94" t="s">
        <v>256</v>
      </c>
      <c r="E605" s="96">
        <v>32238</v>
      </c>
      <c r="F605" s="97">
        <f ca="1">DATEDIF(E605,TODAY(),"Y")</f>
        <v>28</v>
      </c>
      <c r="G605" s="98" t="s">
        <v>283</v>
      </c>
      <c r="H605" s="99">
        <v>63050</v>
      </c>
      <c r="I605" s="100">
        <v>3</v>
      </c>
    </row>
    <row r="606" spans="1:9" ht="13.5" x14ac:dyDescent="0.25">
      <c r="A606" s="94" t="s">
        <v>856</v>
      </c>
      <c r="B606" s="95" t="s">
        <v>285</v>
      </c>
      <c r="C606" s="94" t="s">
        <v>856</v>
      </c>
      <c r="D606" s="94" t="s">
        <v>256</v>
      </c>
      <c r="E606" s="96">
        <v>32294</v>
      </c>
      <c r="F606" s="97">
        <f ca="1">DATEDIF(E606,TODAY(),"Y")</f>
        <v>28</v>
      </c>
      <c r="G606" s="98" t="s">
        <v>257</v>
      </c>
      <c r="H606" s="99">
        <v>54830</v>
      </c>
      <c r="I606" s="100">
        <v>1</v>
      </c>
    </row>
    <row r="607" spans="1:9" ht="13.5" x14ac:dyDescent="0.25">
      <c r="A607" s="94" t="s">
        <v>856</v>
      </c>
      <c r="B607" s="95" t="s">
        <v>285</v>
      </c>
      <c r="C607" s="94" t="s">
        <v>856</v>
      </c>
      <c r="D607" s="94" t="s">
        <v>256</v>
      </c>
      <c r="E607" s="96">
        <v>32375</v>
      </c>
      <c r="F607" s="97">
        <f ca="1">DATEDIF(E607,TODAY(),"Y")</f>
        <v>28</v>
      </c>
      <c r="G607" s="98" t="s">
        <v>257</v>
      </c>
      <c r="H607" s="99">
        <v>65571</v>
      </c>
      <c r="I607" s="100">
        <v>3</v>
      </c>
    </row>
    <row r="608" spans="1:9" ht="13.5" x14ac:dyDescent="0.25">
      <c r="A608" s="94" t="s">
        <v>856</v>
      </c>
      <c r="B608" s="95" t="s">
        <v>285</v>
      </c>
      <c r="C608" s="94" t="s">
        <v>856</v>
      </c>
      <c r="D608" s="94" t="s">
        <v>256</v>
      </c>
      <c r="E608" s="96">
        <v>32401</v>
      </c>
      <c r="F608" s="97">
        <f ca="1">DATEDIF(E608,TODAY(),"Y")</f>
        <v>28</v>
      </c>
      <c r="G608" s="98" t="s">
        <v>257</v>
      </c>
      <c r="H608" s="99">
        <v>68470</v>
      </c>
      <c r="I608" s="100">
        <v>4</v>
      </c>
    </row>
    <row r="609" spans="1:9" ht="13.5" x14ac:dyDescent="0.25">
      <c r="A609" s="94" t="s">
        <v>856</v>
      </c>
      <c r="B609" s="95" t="s">
        <v>271</v>
      </c>
      <c r="C609" s="94" t="s">
        <v>856</v>
      </c>
      <c r="D609" s="94" t="s">
        <v>256</v>
      </c>
      <c r="E609" s="96">
        <v>32542</v>
      </c>
      <c r="F609" s="97">
        <f ca="1">DATEDIF(E609,TODAY(),"Y")</f>
        <v>27</v>
      </c>
      <c r="G609" s="98" t="s">
        <v>276</v>
      </c>
      <c r="H609" s="99">
        <v>86240</v>
      </c>
      <c r="I609" s="100">
        <v>1</v>
      </c>
    </row>
    <row r="610" spans="1:9" ht="13.5" x14ac:dyDescent="0.25">
      <c r="A610" s="94" t="s">
        <v>856</v>
      </c>
      <c r="B610" s="95" t="s">
        <v>266</v>
      </c>
      <c r="C610" s="94" t="s">
        <v>856</v>
      </c>
      <c r="D610" s="94" t="s">
        <v>261</v>
      </c>
      <c r="E610" s="96">
        <v>32580</v>
      </c>
      <c r="F610" s="97">
        <f ca="1">DATEDIF(E610,TODAY(),"Y")</f>
        <v>27</v>
      </c>
      <c r="G610" s="98" t="s">
        <v>283</v>
      </c>
      <c r="H610" s="99">
        <v>25885</v>
      </c>
      <c r="I610" s="100">
        <v>5</v>
      </c>
    </row>
    <row r="611" spans="1:9" ht="13.5" x14ac:dyDescent="0.25">
      <c r="A611" s="94" t="s">
        <v>856</v>
      </c>
      <c r="B611" s="95" t="s">
        <v>285</v>
      </c>
      <c r="C611" s="94" t="s">
        <v>856</v>
      </c>
      <c r="D611" s="94" t="s">
        <v>247</v>
      </c>
      <c r="E611" s="96">
        <v>32604</v>
      </c>
      <c r="F611" s="97">
        <f ca="1">DATEDIF(E611,TODAY(),"Y")</f>
        <v>27</v>
      </c>
      <c r="G611" s="98"/>
      <c r="H611" s="99">
        <v>55690</v>
      </c>
      <c r="I611" s="100">
        <v>2</v>
      </c>
    </row>
    <row r="612" spans="1:9" ht="13.5" x14ac:dyDescent="0.25">
      <c r="A612" s="94" t="s">
        <v>856</v>
      </c>
      <c r="B612" s="95" t="s">
        <v>245</v>
      </c>
      <c r="C612" s="94" t="s">
        <v>856</v>
      </c>
      <c r="D612" s="94" t="s">
        <v>256</v>
      </c>
      <c r="E612" s="96">
        <v>32700</v>
      </c>
      <c r="F612" s="97">
        <f ca="1">DATEDIF(E612,TODAY(),"Y")</f>
        <v>27</v>
      </c>
      <c r="G612" s="98" t="s">
        <v>257</v>
      </c>
      <c r="H612" s="99">
        <v>54270</v>
      </c>
      <c r="I612" s="100">
        <v>3</v>
      </c>
    </row>
    <row r="613" spans="1:9" ht="13.5" x14ac:dyDescent="0.25">
      <c r="A613" s="94" t="s">
        <v>856</v>
      </c>
      <c r="B613" s="95" t="s">
        <v>251</v>
      </c>
      <c r="C613" s="94" t="s">
        <v>856</v>
      </c>
      <c r="D613" s="94" t="s">
        <v>256</v>
      </c>
      <c r="E613" s="96">
        <v>32711</v>
      </c>
      <c r="F613" s="97">
        <f ca="1">DATEDIF(E613,TODAY(),"Y")</f>
        <v>27</v>
      </c>
      <c r="G613" s="98" t="s">
        <v>283</v>
      </c>
      <c r="H613" s="99">
        <v>45110</v>
      </c>
      <c r="I613" s="100">
        <v>2</v>
      </c>
    </row>
    <row r="614" spans="1:9" ht="13.5" x14ac:dyDescent="0.25">
      <c r="A614" s="94" t="s">
        <v>856</v>
      </c>
      <c r="B614" s="95" t="s">
        <v>271</v>
      </c>
      <c r="C614" s="94" t="s">
        <v>856</v>
      </c>
      <c r="D614" s="94" t="s">
        <v>256</v>
      </c>
      <c r="E614" s="96">
        <v>32718</v>
      </c>
      <c r="F614" s="97">
        <f ca="1">DATEDIF(E614,TODAY(),"Y")</f>
        <v>27</v>
      </c>
      <c r="G614" s="98" t="s">
        <v>283</v>
      </c>
      <c r="H614" s="99">
        <v>66824</v>
      </c>
      <c r="I614" s="100">
        <v>2</v>
      </c>
    </row>
    <row r="615" spans="1:9" ht="13.5" x14ac:dyDescent="0.25">
      <c r="A615" s="94" t="s">
        <v>856</v>
      </c>
      <c r="B615" s="95" t="s">
        <v>285</v>
      </c>
      <c r="C615" s="94" t="s">
        <v>856</v>
      </c>
      <c r="D615" s="94" t="s">
        <v>256</v>
      </c>
      <c r="E615" s="96">
        <v>32850</v>
      </c>
      <c r="F615" s="97">
        <f ca="1">DATEDIF(E615,TODAY(),"Y")</f>
        <v>26</v>
      </c>
      <c r="G615" s="98" t="s">
        <v>257</v>
      </c>
      <c r="H615" s="99">
        <v>54200</v>
      </c>
      <c r="I615" s="100">
        <v>4</v>
      </c>
    </row>
    <row r="616" spans="1:9" ht="13.5" x14ac:dyDescent="0.25">
      <c r="A616" s="94" t="s">
        <v>856</v>
      </c>
      <c r="B616" s="95" t="s">
        <v>271</v>
      </c>
      <c r="C616" s="94" t="s">
        <v>856</v>
      </c>
      <c r="D616" s="94" t="s">
        <v>252</v>
      </c>
      <c r="E616" s="96">
        <v>32870</v>
      </c>
      <c r="F616" s="97">
        <f ca="1">DATEDIF(E616,TODAY(),"Y")</f>
        <v>26</v>
      </c>
      <c r="G616" s="98"/>
      <c r="H616" s="99">
        <v>26484</v>
      </c>
      <c r="I616" s="100">
        <v>5</v>
      </c>
    </row>
    <row r="617" spans="1:9" ht="13.5" x14ac:dyDescent="0.25">
      <c r="A617" s="94" t="s">
        <v>856</v>
      </c>
      <c r="B617" s="95" t="s">
        <v>271</v>
      </c>
      <c r="C617" s="94" t="s">
        <v>856</v>
      </c>
      <c r="D617" s="94" t="s">
        <v>256</v>
      </c>
      <c r="E617" s="96">
        <v>32975</v>
      </c>
      <c r="F617" s="97">
        <f ca="1">DATEDIF(E617,TODAY(),"Y")</f>
        <v>26</v>
      </c>
      <c r="G617" s="98" t="s">
        <v>267</v>
      </c>
      <c r="H617" s="99">
        <v>48490</v>
      </c>
      <c r="I617" s="100">
        <v>2</v>
      </c>
    </row>
    <row r="618" spans="1:9" ht="13.5" x14ac:dyDescent="0.25">
      <c r="A618" s="94" t="s">
        <v>856</v>
      </c>
      <c r="B618" s="95" t="s">
        <v>271</v>
      </c>
      <c r="C618" s="94" t="s">
        <v>856</v>
      </c>
      <c r="D618" s="94" t="s">
        <v>252</v>
      </c>
      <c r="E618" s="96">
        <v>33035</v>
      </c>
      <c r="F618" s="97">
        <f ca="1">DATEDIF(E618,TODAY(),"Y")</f>
        <v>26</v>
      </c>
      <c r="G618" s="98"/>
      <c r="H618" s="99">
        <v>36788</v>
      </c>
      <c r="I618" s="100">
        <v>4</v>
      </c>
    </row>
    <row r="619" spans="1:9" ht="13.5" x14ac:dyDescent="0.25">
      <c r="A619" s="94" t="s">
        <v>856</v>
      </c>
      <c r="B619" s="95" t="s">
        <v>271</v>
      </c>
      <c r="C619" s="94" t="s">
        <v>856</v>
      </c>
      <c r="D619" s="94" t="s">
        <v>256</v>
      </c>
      <c r="E619" s="96">
        <v>33444</v>
      </c>
      <c r="F619" s="97">
        <f ca="1">DATEDIF(E619,TODAY(),"Y")</f>
        <v>25</v>
      </c>
      <c r="G619" s="98" t="s">
        <v>257</v>
      </c>
      <c r="H619" s="99">
        <v>39000</v>
      </c>
      <c r="I619" s="100">
        <v>5</v>
      </c>
    </row>
    <row r="620" spans="1:9" ht="13.5" x14ac:dyDescent="0.25">
      <c r="A620" s="94" t="s">
        <v>856</v>
      </c>
      <c r="B620" s="95" t="s">
        <v>285</v>
      </c>
      <c r="C620" s="94" t="s">
        <v>856</v>
      </c>
      <c r="D620" s="94" t="s">
        <v>256</v>
      </c>
      <c r="E620" s="96">
        <v>33490</v>
      </c>
      <c r="F620" s="97">
        <f ca="1">DATEDIF(E620,TODAY(),"Y")</f>
        <v>25</v>
      </c>
      <c r="G620" s="98" t="s">
        <v>262</v>
      </c>
      <c r="H620" s="99">
        <v>82700</v>
      </c>
      <c r="I620" s="100">
        <v>3</v>
      </c>
    </row>
    <row r="621" spans="1:9" ht="13.5" x14ac:dyDescent="0.25">
      <c r="A621" s="94" t="s">
        <v>856</v>
      </c>
      <c r="B621" s="95" t="s">
        <v>266</v>
      </c>
      <c r="C621" s="94" t="s">
        <v>856</v>
      </c>
      <c r="D621" s="94" t="s">
        <v>252</v>
      </c>
      <c r="E621" s="96">
        <v>33724</v>
      </c>
      <c r="F621" s="97">
        <f ca="1">DATEDIF(E621,TODAY(),"Y")</f>
        <v>24</v>
      </c>
      <c r="G621" s="98"/>
      <c r="H621" s="99">
        <v>23692</v>
      </c>
      <c r="I621" s="100">
        <v>4</v>
      </c>
    </row>
    <row r="622" spans="1:9" ht="13.5" x14ac:dyDescent="0.25">
      <c r="A622" s="94" t="s">
        <v>856</v>
      </c>
      <c r="B622" s="95" t="s">
        <v>271</v>
      </c>
      <c r="C622" s="94" t="s">
        <v>856</v>
      </c>
      <c r="D622" s="94" t="s">
        <v>256</v>
      </c>
      <c r="E622" s="96">
        <v>34046</v>
      </c>
      <c r="F622" s="97">
        <f ca="1">DATEDIF(E622,TODAY(),"Y")</f>
        <v>23</v>
      </c>
      <c r="G622" s="98" t="s">
        <v>262</v>
      </c>
      <c r="H622" s="99">
        <v>63030</v>
      </c>
      <c r="I622" s="100">
        <v>1</v>
      </c>
    </row>
    <row r="623" spans="1:9" ht="13.5" x14ac:dyDescent="0.25">
      <c r="A623" s="94" t="s">
        <v>856</v>
      </c>
      <c r="B623" s="95" t="s">
        <v>271</v>
      </c>
      <c r="C623" s="94" t="s">
        <v>856</v>
      </c>
      <c r="D623" s="94" t="s">
        <v>256</v>
      </c>
      <c r="E623" s="96">
        <v>34063</v>
      </c>
      <c r="F623" s="97">
        <f ca="1">DATEDIF(E623,TODAY(),"Y")</f>
        <v>23</v>
      </c>
      <c r="G623" s="98" t="s">
        <v>283</v>
      </c>
      <c r="H623" s="99">
        <v>66440</v>
      </c>
      <c r="I623" s="100">
        <v>3</v>
      </c>
    </row>
    <row r="624" spans="1:9" ht="13.5" x14ac:dyDescent="0.25">
      <c r="A624" s="94" t="s">
        <v>856</v>
      </c>
      <c r="B624" s="95" t="s">
        <v>271</v>
      </c>
      <c r="C624" s="94" t="s">
        <v>856</v>
      </c>
      <c r="D624" s="94" t="s">
        <v>252</v>
      </c>
      <c r="E624" s="96">
        <v>34092</v>
      </c>
      <c r="F624" s="97">
        <f ca="1">DATEDIF(E624,TODAY(),"Y")</f>
        <v>23</v>
      </c>
      <c r="G624" s="98"/>
      <c r="H624" s="99">
        <v>33508</v>
      </c>
      <c r="I624" s="100">
        <v>4</v>
      </c>
    </row>
    <row r="625" spans="1:9" ht="13.5" x14ac:dyDescent="0.25">
      <c r="A625" s="94" t="s">
        <v>856</v>
      </c>
      <c r="B625" s="95" t="s">
        <v>285</v>
      </c>
      <c r="C625" s="94" t="s">
        <v>856</v>
      </c>
      <c r="D625" s="94" t="s">
        <v>256</v>
      </c>
      <c r="E625" s="96">
        <v>34098</v>
      </c>
      <c r="F625" s="97">
        <f ca="1">DATEDIF(E625,TODAY(),"Y")</f>
        <v>23</v>
      </c>
      <c r="G625" s="98" t="s">
        <v>283</v>
      </c>
      <c r="H625" s="99">
        <v>34330</v>
      </c>
      <c r="I625" s="100">
        <v>3</v>
      </c>
    </row>
    <row r="626" spans="1:9" ht="13.5" x14ac:dyDescent="0.25">
      <c r="A626" s="94" t="s">
        <v>856</v>
      </c>
      <c r="B626" s="95" t="s">
        <v>285</v>
      </c>
      <c r="C626" s="94" t="s">
        <v>856</v>
      </c>
      <c r="D626" s="94" t="s">
        <v>256</v>
      </c>
      <c r="E626" s="96">
        <v>34098</v>
      </c>
      <c r="F626" s="97">
        <f ca="1">DATEDIF(E626,TODAY(),"Y")</f>
        <v>23</v>
      </c>
      <c r="G626" s="98" t="s">
        <v>283</v>
      </c>
      <c r="H626" s="99">
        <v>34330</v>
      </c>
      <c r="I626" s="100">
        <v>3</v>
      </c>
    </row>
    <row r="627" spans="1:9" ht="13.5" x14ac:dyDescent="0.25">
      <c r="A627" s="94" t="s">
        <v>856</v>
      </c>
      <c r="B627" s="95" t="s">
        <v>245</v>
      </c>
      <c r="C627" s="94" t="s">
        <v>856</v>
      </c>
      <c r="D627" s="94" t="s">
        <v>256</v>
      </c>
      <c r="E627" s="96">
        <v>34141</v>
      </c>
      <c r="F627" s="97">
        <f ca="1">DATEDIF(E627,TODAY(),"Y")</f>
        <v>23</v>
      </c>
      <c r="G627" s="98" t="s">
        <v>276</v>
      </c>
      <c r="H627" s="99">
        <v>62965</v>
      </c>
      <c r="I627" s="100">
        <v>1</v>
      </c>
    </row>
    <row r="628" spans="1:9" ht="13.5" x14ac:dyDescent="0.25">
      <c r="A628" s="94" t="s">
        <v>856</v>
      </c>
      <c r="B628" s="95" t="s">
        <v>285</v>
      </c>
      <c r="C628" s="94" t="s">
        <v>856</v>
      </c>
      <c r="D628" s="94" t="s">
        <v>256</v>
      </c>
      <c r="E628" s="96">
        <v>34187</v>
      </c>
      <c r="F628" s="97">
        <f ca="1">DATEDIF(E628,TODAY(),"Y")</f>
        <v>23</v>
      </c>
      <c r="G628" s="98" t="s">
        <v>257</v>
      </c>
      <c r="H628" s="99">
        <v>78710</v>
      </c>
      <c r="I628" s="100">
        <v>4</v>
      </c>
    </row>
    <row r="629" spans="1:9" ht="13.5" x14ac:dyDescent="0.25">
      <c r="A629" s="94" t="s">
        <v>856</v>
      </c>
      <c r="B629" s="95" t="s">
        <v>285</v>
      </c>
      <c r="C629" s="94" t="s">
        <v>856</v>
      </c>
      <c r="D629" s="94" t="s">
        <v>256</v>
      </c>
      <c r="E629" s="96">
        <v>34259</v>
      </c>
      <c r="F629" s="97">
        <f ca="1">DATEDIF(E629,TODAY(),"Y")</f>
        <v>23</v>
      </c>
      <c r="G629" s="98" t="s">
        <v>283</v>
      </c>
      <c r="H629" s="99">
        <v>37770</v>
      </c>
      <c r="I629" s="100">
        <v>5</v>
      </c>
    </row>
    <row r="630" spans="1:9" ht="13.5" x14ac:dyDescent="0.25">
      <c r="A630" s="94" t="s">
        <v>856</v>
      </c>
      <c r="B630" s="95" t="s">
        <v>271</v>
      </c>
      <c r="C630" s="94" t="s">
        <v>856</v>
      </c>
      <c r="D630" s="94" t="s">
        <v>261</v>
      </c>
      <c r="E630" s="96">
        <v>34378</v>
      </c>
      <c r="F630" s="97">
        <f ca="1">DATEDIF(E630,TODAY(),"Y")</f>
        <v>22</v>
      </c>
      <c r="G630" s="98" t="s">
        <v>283</v>
      </c>
      <c r="H630" s="99">
        <v>42740</v>
      </c>
      <c r="I630" s="100">
        <v>2</v>
      </c>
    </row>
    <row r="631" spans="1:9" ht="13.5" x14ac:dyDescent="0.25">
      <c r="A631" s="94" t="s">
        <v>856</v>
      </c>
      <c r="B631" s="95" t="s">
        <v>280</v>
      </c>
      <c r="C631" s="94" t="s">
        <v>856</v>
      </c>
      <c r="D631" s="94" t="s">
        <v>256</v>
      </c>
      <c r="E631" s="96">
        <v>34405</v>
      </c>
      <c r="F631" s="97">
        <f ca="1">DATEDIF(E631,TODAY(),"Y")</f>
        <v>22</v>
      </c>
      <c r="G631" s="98" t="s">
        <v>283</v>
      </c>
      <c r="H631" s="99">
        <v>32120</v>
      </c>
      <c r="I631" s="100">
        <v>1</v>
      </c>
    </row>
    <row r="632" spans="1:9" ht="13.5" x14ac:dyDescent="0.25">
      <c r="A632" s="94" t="s">
        <v>856</v>
      </c>
      <c r="B632" s="95" t="s">
        <v>271</v>
      </c>
      <c r="C632" s="94" t="s">
        <v>856</v>
      </c>
      <c r="D632" s="94" t="s">
        <v>247</v>
      </c>
      <c r="E632" s="96">
        <v>34496</v>
      </c>
      <c r="F632" s="97">
        <f ca="1">DATEDIF(E632,TODAY(),"Y")</f>
        <v>22</v>
      </c>
      <c r="G632" s="98"/>
      <c r="H632" s="99">
        <v>86100</v>
      </c>
      <c r="I632" s="100">
        <v>4</v>
      </c>
    </row>
    <row r="633" spans="1:9" ht="13.5" x14ac:dyDescent="0.25">
      <c r="A633" s="94" t="s">
        <v>856</v>
      </c>
      <c r="B633" s="95" t="s">
        <v>280</v>
      </c>
      <c r="C633" s="94" t="s">
        <v>856</v>
      </c>
      <c r="D633" s="94" t="s">
        <v>261</v>
      </c>
      <c r="E633" s="96">
        <v>34532</v>
      </c>
      <c r="F633" s="97">
        <f ca="1">DATEDIF(E633,TODAY(),"Y")</f>
        <v>22</v>
      </c>
      <c r="G633" s="98" t="s">
        <v>267</v>
      </c>
      <c r="H633" s="99">
        <v>39530</v>
      </c>
      <c r="I633" s="100">
        <v>5</v>
      </c>
    </row>
    <row r="634" spans="1:9" ht="13.5" x14ac:dyDescent="0.25">
      <c r="A634" s="94" t="s">
        <v>856</v>
      </c>
      <c r="B634" s="95" t="s">
        <v>271</v>
      </c>
      <c r="C634" s="94" t="s">
        <v>856</v>
      </c>
      <c r="D634" s="94" t="s">
        <v>252</v>
      </c>
      <c r="E634" s="96">
        <v>34551</v>
      </c>
      <c r="F634" s="97">
        <f ca="1">DATEDIF(E634,TODAY(),"Y")</f>
        <v>22</v>
      </c>
      <c r="G634" s="98"/>
      <c r="H634" s="99">
        <v>12836</v>
      </c>
      <c r="I634" s="100">
        <v>5</v>
      </c>
    </row>
    <row r="635" spans="1:9" ht="13.5" x14ac:dyDescent="0.25">
      <c r="A635" s="94" t="s">
        <v>856</v>
      </c>
      <c r="B635" s="95" t="s">
        <v>245</v>
      </c>
      <c r="C635" s="94" t="s">
        <v>856</v>
      </c>
      <c r="D635" s="94" t="s">
        <v>252</v>
      </c>
      <c r="E635" s="96">
        <v>34559</v>
      </c>
      <c r="F635" s="97">
        <f ca="1">DATEDIF(E635,TODAY(),"Y")</f>
        <v>22</v>
      </c>
      <c r="G635" s="98"/>
      <c r="H635" s="99">
        <v>17912</v>
      </c>
      <c r="I635" s="100">
        <v>5</v>
      </c>
    </row>
    <row r="636" spans="1:9" ht="13.5" x14ac:dyDescent="0.25">
      <c r="A636" s="94" t="s">
        <v>856</v>
      </c>
      <c r="B636" s="95" t="s">
        <v>285</v>
      </c>
      <c r="C636" s="94" t="s">
        <v>856</v>
      </c>
      <c r="D636" s="94" t="s">
        <v>256</v>
      </c>
      <c r="E636" s="96">
        <v>34586</v>
      </c>
      <c r="F636" s="97">
        <f ca="1">DATEDIF(E636,TODAY(),"Y")</f>
        <v>22</v>
      </c>
      <c r="G636" s="98" t="s">
        <v>283</v>
      </c>
      <c r="H636" s="99">
        <v>70280</v>
      </c>
      <c r="I636" s="100">
        <v>3</v>
      </c>
    </row>
    <row r="637" spans="1:9" ht="13.5" x14ac:dyDescent="0.25">
      <c r="A637" s="94" t="s">
        <v>856</v>
      </c>
      <c r="B637" s="95" t="s">
        <v>271</v>
      </c>
      <c r="C637" s="94" t="s">
        <v>856</v>
      </c>
      <c r="D637" s="94" t="s">
        <v>256</v>
      </c>
      <c r="E637" s="96">
        <v>34702</v>
      </c>
      <c r="F637" s="97">
        <f ca="1">DATEDIF(E637,TODAY(),"Y")</f>
        <v>21</v>
      </c>
      <c r="G637" s="98" t="s">
        <v>262</v>
      </c>
      <c r="H637" s="99">
        <v>78950</v>
      </c>
      <c r="I637" s="100">
        <v>1</v>
      </c>
    </row>
    <row r="638" spans="1:9" ht="13.5" x14ac:dyDescent="0.25">
      <c r="A638" s="94" t="s">
        <v>856</v>
      </c>
      <c r="B638" s="95" t="s">
        <v>245</v>
      </c>
      <c r="C638" s="94" t="s">
        <v>856</v>
      </c>
      <c r="D638" s="94" t="s">
        <v>247</v>
      </c>
      <c r="E638" s="96">
        <v>34760</v>
      </c>
      <c r="F638" s="97">
        <f ca="1">DATEDIF(E638,TODAY(),"Y")</f>
        <v>21</v>
      </c>
      <c r="G638" s="98"/>
      <c r="H638" s="99">
        <v>59050</v>
      </c>
      <c r="I638" s="100">
        <v>4</v>
      </c>
    </row>
    <row r="639" spans="1:9" ht="13.5" x14ac:dyDescent="0.25">
      <c r="A639" s="94" t="s">
        <v>856</v>
      </c>
      <c r="B639" s="95" t="s">
        <v>271</v>
      </c>
      <c r="C639" s="94" t="s">
        <v>856</v>
      </c>
      <c r="D639" s="94" t="s">
        <v>256</v>
      </c>
      <c r="E639" s="96">
        <v>34768</v>
      </c>
      <c r="F639" s="97">
        <f ca="1">DATEDIF(E639,TODAY(),"Y")</f>
        <v>21</v>
      </c>
      <c r="G639" s="98" t="s">
        <v>276</v>
      </c>
      <c r="H639" s="99">
        <v>79610</v>
      </c>
      <c r="I639" s="100">
        <v>2</v>
      </c>
    </row>
    <row r="640" spans="1:9" ht="13.5" x14ac:dyDescent="0.25">
      <c r="A640" s="94" t="s">
        <v>856</v>
      </c>
      <c r="B640" s="95" t="s">
        <v>245</v>
      </c>
      <c r="C640" s="94" t="s">
        <v>856</v>
      </c>
      <c r="D640" s="94" t="s">
        <v>256</v>
      </c>
      <c r="E640" s="96">
        <v>34771</v>
      </c>
      <c r="F640" s="97">
        <f ca="1">DATEDIF(E640,TODAY(),"Y")</f>
        <v>21</v>
      </c>
      <c r="G640" s="98" t="s">
        <v>283</v>
      </c>
      <c r="H640" s="99">
        <v>67407</v>
      </c>
      <c r="I640" s="100">
        <v>5</v>
      </c>
    </row>
    <row r="641" spans="1:9" ht="13.5" x14ac:dyDescent="0.25">
      <c r="A641" s="94" t="s">
        <v>856</v>
      </c>
      <c r="B641" s="95" t="s">
        <v>271</v>
      </c>
      <c r="C641" s="94" t="s">
        <v>856</v>
      </c>
      <c r="D641" s="94" t="s">
        <v>261</v>
      </c>
      <c r="E641" s="96">
        <v>34886</v>
      </c>
      <c r="F641" s="97">
        <f ca="1">DATEDIF(E641,TODAY(),"Y")</f>
        <v>21</v>
      </c>
      <c r="G641" s="98" t="s">
        <v>257</v>
      </c>
      <c r="H641" s="99">
        <v>34980</v>
      </c>
      <c r="I641" s="100">
        <v>2</v>
      </c>
    </row>
    <row r="642" spans="1:9" ht="13.5" x14ac:dyDescent="0.25">
      <c r="A642" s="94" t="s">
        <v>856</v>
      </c>
      <c r="B642" s="95" t="s">
        <v>285</v>
      </c>
      <c r="C642" s="94" t="s">
        <v>856</v>
      </c>
      <c r="D642" s="94" t="s">
        <v>247</v>
      </c>
      <c r="E642" s="96">
        <v>34904</v>
      </c>
      <c r="F642" s="97">
        <f ca="1">DATEDIF(E642,TODAY(),"Y")</f>
        <v>21</v>
      </c>
      <c r="G642" s="98"/>
      <c r="H642" s="99">
        <v>53310</v>
      </c>
      <c r="I642" s="100">
        <v>5</v>
      </c>
    </row>
    <row r="643" spans="1:9" ht="13.5" x14ac:dyDescent="0.25">
      <c r="A643" s="94" t="s">
        <v>856</v>
      </c>
      <c r="B643" s="95" t="s">
        <v>285</v>
      </c>
      <c r="C643" s="94" t="s">
        <v>856</v>
      </c>
      <c r="D643" s="94" t="s">
        <v>256</v>
      </c>
      <c r="E643" s="96">
        <v>34935</v>
      </c>
      <c r="F643" s="97">
        <f ca="1">DATEDIF(E643,TODAY(),"Y")</f>
        <v>21</v>
      </c>
      <c r="G643" s="98" t="s">
        <v>257</v>
      </c>
      <c r="H643" s="99">
        <v>58410</v>
      </c>
      <c r="I643" s="100">
        <v>5</v>
      </c>
    </row>
    <row r="644" spans="1:9" ht="13.5" x14ac:dyDescent="0.25">
      <c r="A644" s="94" t="s">
        <v>856</v>
      </c>
      <c r="B644" s="95" t="s">
        <v>245</v>
      </c>
      <c r="C644" s="94" t="s">
        <v>856</v>
      </c>
      <c r="D644" s="94" t="s">
        <v>256</v>
      </c>
      <c r="E644" s="96">
        <v>34980</v>
      </c>
      <c r="F644" s="97">
        <f ca="1">DATEDIF(E644,TODAY(),"Y")</f>
        <v>21</v>
      </c>
      <c r="G644" s="98" t="s">
        <v>283</v>
      </c>
      <c r="H644" s="99">
        <v>39000</v>
      </c>
      <c r="I644" s="100">
        <v>3</v>
      </c>
    </row>
    <row r="645" spans="1:9" ht="13.5" x14ac:dyDescent="0.25">
      <c r="A645" s="94" t="s">
        <v>856</v>
      </c>
      <c r="B645" s="95" t="s">
        <v>285</v>
      </c>
      <c r="C645" s="94" t="s">
        <v>856</v>
      </c>
      <c r="D645" s="94" t="s">
        <v>256</v>
      </c>
      <c r="E645" s="96">
        <v>35002</v>
      </c>
      <c r="F645" s="97">
        <f ca="1">DATEDIF(E645,TODAY(),"Y")</f>
        <v>21</v>
      </c>
      <c r="G645" s="98" t="s">
        <v>257</v>
      </c>
      <c r="H645" s="99">
        <v>69200</v>
      </c>
      <c r="I645" s="100">
        <v>4</v>
      </c>
    </row>
    <row r="646" spans="1:9" ht="13.5" x14ac:dyDescent="0.25">
      <c r="A646" s="94" t="s">
        <v>856</v>
      </c>
      <c r="B646" s="95" t="s">
        <v>245</v>
      </c>
      <c r="C646" s="94" t="s">
        <v>856</v>
      </c>
      <c r="D646" s="94" t="s">
        <v>256</v>
      </c>
      <c r="E646" s="96">
        <v>35050</v>
      </c>
      <c r="F646" s="97">
        <f ca="1">DATEDIF(E646,TODAY(),"Y")</f>
        <v>20</v>
      </c>
      <c r="G646" s="98" t="s">
        <v>283</v>
      </c>
      <c r="H646" s="99">
        <v>67020</v>
      </c>
      <c r="I646" s="100">
        <v>1</v>
      </c>
    </row>
    <row r="647" spans="1:9" ht="13.5" x14ac:dyDescent="0.25">
      <c r="A647" s="94" t="s">
        <v>856</v>
      </c>
      <c r="B647" s="95" t="s">
        <v>271</v>
      </c>
      <c r="C647" s="94" t="s">
        <v>856</v>
      </c>
      <c r="D647" s="94" t="s">
        <v>247</v>
      </c>
      <c r="E647" s="96">
        <v>35096</v>
      </c>
      <c r="F647" s="97">
        <f ca="1">DATEDIF(E647,TODAY(),"Y")</f>
        <v>20</v>
      </c>
      <c r="G647" s="98"/>
      <c r="H647" s="99">
        <v>60800</v>
      </c>
      <c r="I647" s="100">
        <v>4</v>
      </c>
    </row>
    <row r="648" spans="1:9" ht="13.5" x14ac:dyDescent="0.25">
      <c r="A648" s="94" t="s">
        <v>856</v>
      </c>
      <c r="B648" s="95" t="s">
        <v>285</v>
      </c>
      <c r="C648" s="94" t="s">
        <v>856</v>
      </c>
      <c r="D648" s="94" t="s">
        <v>256</v>
      </c>
      <c r="E648" s="96">
        <v>35097</v>
      </c>
      <c r="F648" s="97">
        <f ca="1">DATEDIF(E648,TODAY(),"Y")</f>
        <v>20</v>
      </c>
      <c r="G648" s="98" t="s">
        <v>262</v>
      </c>
      <c r="H648" s="99">
        <v>45880</v>
      </c>
      <c r="I648" s="100">
        <v>5</v>
      </c>
    </row>
    <row r="649" spans="1:9" ht="13.5" x14ac:dyDescent="0.25">
      <c r="A649" s="94" t="s">
        <v>856</v>
      </c>
      <c r="B649" s="95" t="s">
        <v>285</v>
      </c>
      <c r="C649" s="94" t="s">
        <v>856</v>
      </c>
      <c r="D649" s="94" t="s">
        <v>261</v>
      </c>
      <c r="E649" s="96">
        <v>35113</v>
      </c>
      <c r="F649" s="97">
        <f ca="1">DATEDIF(E649,TODAY(),"Y")</f>
        <v>20</v>
      </c>
      <c r="G649" s="98" t="s">
        <v>276</v>
      </c>
      <c r="H649" s="99">
        <v>47350</v>
      </c>
      <c r="I649" s="100">
        <v>1</v>
      </c>
    </row>
    <row r="650" spans="1:9" ht="13.5" x14ac:dyDescent="0.25">
      <c r="A650" s="94" t="s">
        <v>856</v>
      </c>
      <c r="B650" s="95" t="s">
        <v>285</v>
      </c>
      <c r="C650" s="94" t="s">
        <v>856</v>
      </c>
      <c r="D650" s="94" t="s">
        <v>247</v>
      </c>
      <c r="E650" s="96">
        <v>35169</v>
      </c>
      <c r="F650" s="97">
        <f ca="1">DATEDIF(E650,TODAY(),"Y")</f>
        <v>20</v>
      </c>
      <c r="G650" s="98"/>
      <c r="H650" s="99">
        <v>54840</v>
      </c>
      <c r="I650" s="100">
        <v>4</v>
      </c>
    </row>
    <row r="651" spans="1:9" ht="13.5" x14ac:dyDescent="0.25">
      <c r="A651" s="94" t="s">
        <v>856</v>
      </c>
      <c r="B651" s="95" t="s">
        <v>266</v>
      </c>
      <c r="C651" s="94" t="s">
        <v>856</v>
      </c>
      <c r="D651" s="94" t="s">
        <v>256</v>
      </c>
      <c r="E651" s="96">
        <v>35204</v>
      </c>
      <c r="F651" s="97">
        <f ca="1">DATEDIF(E651,TODAY(),"Y")</f>
        <v>20</v>
      </c>
      <c r="G651" s="98" t="s">
        <v>283</v>
      </c>
      <c r="H651" s="99">
        <v>48250</v>
      </c>
      <c r="I651" s="100">
        <v>3</v>
      </c>
    </row>
    <row r="652" spans="1:9" ht="13.5" x14ac:dyDescent="0.25">
      <c r="A652" s="94" t="s">
        <v>856</v>
      </c>
      <c r="B652" s="95" t="s">
        <v>285</v>
      </c>
      <c r="C652" s="94" t="s">
        <v>856</v>
      </c>
      <c r="D652" s="94" t="s">
        <v>256</v>
      </c>
      <c r="E652" s="96">
        <v>35216</v>
      </c>
      <c r="F652" s="97">
        <f ca="1">DATEDIF(E652,TODAY(),"Y")</f>
        <v>20</v>
      </c>
      <c r="G652" s="98" t="s">
        <v>257</v>
      </c>
      <c r="H652" s="99">
        <v>29260</v>
      </c>
      <c r="I652" s="100">
        <v>4</v>
      </c>
    </row>
    <row r="653" spans="1:9" ht="13.5" x14ac:dyDescent="0.25">
      <c r="A653" s="94" t="s">
        <v>856</v>
      </c>
      <c r="B653" s="95" t="s">
        <v>271</v>
      </c>
      <c r="C653" s="94" t="s">
        <v>856</v>
      </c>
      <c r="D653" s="94" t="s">
        <v>261</v>
      </c>
      <c r="E653" s="96">
        <v>35221</v>
      </c>
      <c r="F653" s="97">
        <f ca="1">DATEDIF(E653,TODAY(),"Y")</f>
        <v>20</v>
      </c>
      <c r="G653" s="98" t="s">
        <v>267</v>
      </c>
      <c r="H653" s="99">
        <v>20990</v>
      </c>
      <c r="I653" s="100">
        <v>4</v>
      </c>
    </row>
    <row r="654" spans="1:9" ht="13.5" x14ac:dyDescent="0.25">
      <c r="A654" s="94" t="s">
        <v>856</v>
      </c>
      <c r="B654" s="95" t="s">
        <v>266</v>
      </c>
      <c r="C654" s="94" t="s">
        <v>856</v>
      </c>
      <c r="D654" s="94" t="s">
        <v>252</v>
      </c>
      <c r="E654" s="96">
        <v>35247</v>
      </c>
      <c r="F654" s="97">
        <f ca="1">DATEDIF(E654,TODAY(),"Y")</f>
        <v>20</v>
      </c>
      <c r="G654" s="98"/>
      <c r="H654" s="99">
        <v>15552</v>
      </c>
      <c r="I654" s="100">
        <v>4</v>
      </c>
    </row>
    <row r="655" spans="1:9" ht="13.5" x14ac:dyDescent="0.25">
      <c r="A655" s="94" t="s">
        <v>856</v>
      </c>
      <c r="B655" s="95" t="s">
        <v>271</v>
      </c>
      <c r="C655" s="94" t="s">
        <v>856</v>
      </c>
      <c r="D655" s="94" t="s">
        <v>247</v>
      </c>
      <c r="E655" s="96">
        <v>35332</v>
      </c>
      <c r="F655" s="97">
        <f ca="1">DATEDIF(E655,TODAY(),"Y")</f>
        <v>20</v>
      </c>
      <c r="G655" s="98"/>
      <c r="H655" s="99">
        <v>77760</v>
      </c>
      <c r="I655" s="100">
        <v>3</v>
      </c>
    </row>
    <row r="656" spans="1:9" ht="13.5" x14ac:dyDescent="0.25">
      <c r="A656" s="94" t="s">
        <v>856</v>
      </c>
      <c r="B656" s="95" t="s">
        <v>271</v>
      </c>
      <c r="C656" s="94" t="s">
        <v>856</v>
      </c>
      <c r="D656" s="94" t="s">
        <v>247</v>
      </c>
      <c r="E656" s="96">
        <v>35332</v>
      </c>
      <c r="F656" s="97">
        <f ca="1">DATEDIF(E656,TODAY(),"Y")</f>
        <v>20</v>
      </c>
      <c r="G656" s="98"/>
      <c r="H656" s="99">
        <v>77760</v>
      </c>
      <c r="I656" s="100">
        <v>3</v>
      </c>
    </row>
    <row r="657" spans="1:9" ht="13.5" x14ac:dyDescent="0.25">
      <c r="A657" s="94" t="s">
        <v>856</v>
      </c>
      <c r="B657" s="95" t="s">
        <v>251</v>
      </c>
      <c r="C657" s="94" t="s">
        <v>856</v>
      </c>
      <c r="D657" s="94" t="s">
        <v>247</v>
      </c>
      <c r="E657" s="96">
        <v>35772</v>
      </c>
      <c r="F657" s="97">
        <f ca="1">DATEDIF(E657,TODAY(),"Y")</f>
        <v>18</v>
      </c>
      <c r="G657" s="98"/>
      <c r="H657" s="99">
        <v>46780</v>
      </c>
      <c r="I657" s="100">
        <v>2</v>
      </c>
    </row>
    <row r="658" spans="1:9" ht="13.5" x14ac:dyDescent="0.25">
      <c r="A658" s="94" t="s">
        <v>856</v>
      </c>
      <c r="B658" s="95" t="s">
        <v>266</v>
      </c>
      <c r="C658" s="94" t="s">
        <v>856</v>
      </c>
      <c r="D658" s="94" t="s">
        <v>256</v>
      </c>
      <c r="E658" s="96">
        <v>36315</v>
      </c>
      <c r="F658" s="97">
        <f ca="1">DATEDIF(E658,TODAY(),"Y")</f>
        <v>17</v>
      </c>
      <c r="G658" s="98" t="s">
        <v>283</v>
      </c>
      <c r="H658" s="99">
        <v>82490</v>
      </c>
      <c r="I658" s="100">
        <v>5</v>
      </c>
    </row>
    <row r="659" spans="1:9" ht="13.5" x14ac:dyDescent="0.25">
      <c r="A659" s="94" t="s">
        <v>856</v>
      </c>
      <c r="B659" s="95" t="s">
        <v>245</v>
      </c>
      <c r="C659" s="94" t="s">
        <v>856</v>
      </c>
      <c r="D659" s="94" t="s">
        <v>261</v>
      </c>
      <c r="E659" s="96">
        <v>36465</v>
      </c>
      <c r="F659" s="97">
        <f ca="1">DATEDIF(E659,TODAY(),"Y")</f>
        <v>17</v>
      </c>
      <c r="G659" s="98" t="s">
        <v>262</v>
      </c>
      <c r="H659" s="99">
        <v>28525</v>
      </c>
      <c r="I659" s="100">
        <v>4</v>
      </c>
    </row>
    <row r="660" spans="1:9" ht="13.5" x14ac:dyDescent="0.25">
      <c r="A660" s="94" t="s">
        <v>856</v>
      </c>
      <c r="B660" s="95" t="s">
        <v>280</v>
      </c>
      <c r="C660" s="94" t="s">
        <v>856</v>
      </c>
      <c r="D660" s="94" t="s">
        <v>256</v>
      </c>
      <c r="E660" s="96">
        <v>36483</v>
      </c>
      <c r="F660" s="97">
        <f ca="1">DATEDIF(E660,TODAY(),"Y")</f>
        <v>16</v>
      </c>
      <c r="G660" s="98" t="s">
        <v>257</v>
      </c>
      <c r="H660" s="99">
        <v>29210</v>
      </c>
      <c r="I660" s="100">
        <v>5</v>
      </c>
    </row>
    <row r="661" spans="1:9" ht="13.5" x14ac:dyDescent="0.25">
      <c r="A661" s="94" t="s">
        <v>856</v>
      </c>
      <c r="B661" s="95" t="s">
        <v>280</v>
      </c>
      <c r="C661" s="94" t="s">
        <v>856</v>
      </c>
      <c r="D661" s="94" t="s">
        <v>261</v>
      </c>
      <c r="E661" s="96">
        <v>36505</v>
      </c>
      <c r="F661" s="97">
        <f ca="1">DATEDIF(E661,TODAY(),"Y")</f>
        <v>16</v>
      </c>
      <c r="G661" s="98" t="s">
        <v>257</v>
      </c>
      <c r="H661" s="99">
        <v>48740</v>
      </c>
      <c r="I661" s="100">
        <v>1</v>
      </c>
    </row>
    <row r="662" spans="1:9" ht="13.5" x14ac:dyDescent="0.25">
      <c r="A662" s="94" t="s">
        <v>856</v>
      </c>
      <c r="B662" s="95" t="s">
        <v>251</v>
      </c>
      <c r="C662" s="94" t="s">
        <v>856</v>
      </c>
      <c r="D662" s="94" t="s">
        <v>247</v>
      </c>
      <c r="E662" s="96">
        <v>36717</v>
      </c>
      <c r="F662" s="97">
        <f ca="1">DATEDIF(E662,TODAY(),"Y")</f>
        <v>16</v>
      </c>
      <c r="G662" s="98"/>
      <c r="H662" s="99">
        <v>64590</v>
      </c>
      <c r="I662" s="100">
        <v>1</v>
      </c>
    </row>
    <row r="663" spans="1:9" ht="13.5" x14ac:dyDescent="0.25">
      <c r="A663" s="94" t="s">
        <v>856</v>
      </c>
      <c r="B663" s="95" t="s">
        <v>245</v>
      </c>
      <c r="C663" s="94" t="s">
        <v>856</v>
      </c>
      <c r="D663" s="94" t="s">
        <v>256</v>
      </c>
      <c r="E663" s="96">
        <v>36927</v>
      </c>
      <c r="F663" s="97">
        <f ca="1">DATEDIF(E663,TODAY(),"Y")</f>
        <v>15</v>
      </c>
      <c r="G663" s="98" t="s">
        <v>283</v>
      </c>
      <c r="H663" s="99">
        <v>31910</v>
      </c>
      <c r="I663" s="100">
        <v>5</v>
      </c>
    </row>
    <row r="664" spans="1:9" ht="13.5" x14ac:dyDescent="0.25">
      <c r="A664" s="94" t="s">
        <v>856</v>
      </c>
      <c r="B664" s="95" t="s">
        <v>280</v>
      </c>
      <c r="C664" s="94" t="s">
        <v>856</v>
      </c>
      <c r="D664" s="94" t="s">
        <v>256</v>
      </c>
      <c r="E664" s="96">
        <v>37043</v>
      </c>
      <c r="F664" s="97">
        <f ca="1">DATEDIF(E664,TODAY(),"Y")</f>
        <v>15</v>
      </c>
      <c r="G664" s="98" t="s">
        <v>283</v>
      </c>
      <c r="H664" s="99">
        <v>83710</v>
      </c>
      <c r="I664" s="100">
        <v>3</v>
      </c>
    </row>
    <row r="665" spans="1:9" ht="13.5" x14ac:dyDescent="0.25">
      <c r="A665" s="94" t="s">
        <v>856</v>
      </c>
      <c r="B665" s="95" t="s">
        <v>285</v>
      </c>
      <c r="C665" s="94" t="s">
        <v>856</v>
      </c>
      <c r="D665" s="94" t="s">
        <v>247</v>
      </c>
      <c r="E665" s="96">
        <v>37483</v>
      </c>
      <c r="F665" s="97">
        <f ca="1">DATEDIF(E665,TODAY(),"Y")</f>
        <v>14</v>
      </c>
      <c r="G665" s="98"/>
      <c r="H665" s="99">
        <v>85930</v>
      </c>
      <c r="I665" s="100">
        <v>2</v>
      </c>
    </row>
    <row r="666" spans="1:9" ht="13.5" x14ac:dyDescent="0.25">
      <c r="A666" s="94" t="s">
        <v>856</v>
      </c>
      <c r="B666" s="95" t="s">
        <v>285</v>
      </c>
      <c r="C666" s="94" t="s">
        <v>856</v>
      </c>
      <c r="D666" s="94" t="s">
        <v>247</v>
      </c>
      <c r="E666" s="96">
        <v>37483</v>
      </c>
      <c r="F666" s="97">
        <f ca="1">DATEDIF(E666,TODAY(),"Y")</f>
        <v>14</v>
      </c>
      <c r="G666" s="98"/>
      <c r="H666" s="99">
        <v>85930</v>
      </c>
      <c r="I666" s="100">
        <v>2</v>
      </c>
    </row>
    <row r="667" spans="1:9" ht="13.5" x14ac:dyDescent="0.25">
      <c r="A667" s="94" t="s">
        <v>856</v>
      </c>
      <c r="B667" s="95" t="s">
        <v>285</v>
      </c>
      <c r="C667" s="94" t="s">
        <v>856</v>
      </c>
      <c r="D667" s="94" t="s">
        <v>256</v>
      </c>
      <c r="E667" s="96">
        <v>37592</v>
      </c>
      <c r="F667" s="97">
        <f ca="1">DATEDIF(E667,TODAY(),"Y")</f>
        <v>13</v>
      </c>
      <c r="G667" s="98" t="s">
        <v>257</v>
      </c>
      <c r="H667" s="99">
        <v>73560</v>
      </c>
      <c r="I667" s="100">
        <v>3</v>
      </c>
    </row>
    <row r="668" spans="1:9" ht="13.5" x14ac:dyDescent="0.25">
      <c r="A668" s="94" t="s">
        <v>856</v>
      </c>
      <c r="B668" s="95" t="s">
        <v>245</v>
      </c>
      <c r="C668" s="94" t="s">
        <v>856</v>
      </c>
      <c r="D668" s="94" t="s">
        <v>256</v>
      </c>
      <c r="E668" s="96">
        <v>37843</v>
      </c>
      <c r="F668" s="97">
        <f ca="1">DATEDIF(E668,TODAY(),"Y")</f>
        <v>13</v>
      </c>
      <c r="G668" s="98" t="s">
        <v>283</v>
      </c>
      <c r="H668" s="99">
        <v>43600</v>
      </c>
      <c r="I668" s="100">
        <v>5</v>
      </c>
    </row>
    <row r="669" spans="1:9" ht="13.5" x14ac:dyDescent="0.25">
      <c r="A669" s="94" t="s">
        <v>856</v>
      </c>
      <c r="B669" s="95" t="s">
        <v>285</v>
      </c>
      <c r="C669" s="94" t="s">
        <v>856</v>
      </c>
      <c r="D669" s="94" t="s">
        <v>247</v>
      </c>
      <c r="E669" s="96">
        <v>38410</v>
      </c>
      <c r="F669" s="97">
        <f ca="1">DATEDIF(E669,TODAY(),"Y")</f>
        <v>11</v>
      </c>
      <c r="G669" s="98"/>
      <c r="H669" s="99">
        <v>43320</v>
      </c>
      <c r="I669" s="100">
        <v>5</v>
      </c>
    </row>
    <row r="670" spans="1:9" ht="13.5" x14ac:dyDescent="0.25">
      <c r="A670" s="94" t="s">
        <v>856</v>
      </c>
      <c r="B670" s="95" t="s">
        <v>285</v>
      </c>
      <c r="C670" s="94" t="s">
        <v>856</v>
      </c>
      <c r="D670" s="94" t="s">
        <v>256</v>
      </c>
      <c r="E670" s="96">
        <v>38435</v>
      </c>
      <c r="F670" s="97">
        <f ca="1">DATEDIF(E670,TODAY(),"Y")</f>
        <v>11</v>
      </c>
      <c r="G670" s="98" t="s">
        <v>283</v>
      </c>
      <c r="H670" s="99">
        <v>29330</v>
      </c>
      <c r="I670" s="100">
        <v>5</v>
      </c>
    </row>
    <row r="671" spans="1:9" ht="13.5" x14ac:dyDescent="0.25">
      <c r="A671" s="94" t="s">
        <v>856</v>
      </c>
      <c r="B671" s="95" t="s">
        <v>245</v>
      </c>
      <c r="C671" s="94" t="s">
        <v>856</v>
      </c>
      <c r="D671" s="94" t="s">
        <v>256</v>
      </c>
      <c r="E671" s="96">
        <v>38505</v>
      </c>
      <c r="F671" s="97">
        <f ca="1">DATEDIF(E671,TODAY(),"Y")</f>
        <v>11</v>
      </c>
      <c r="G671" s="98" t="s">
        <v>283</v>
      </c>
      <c r="H671" s="99">
        <v>72060</v>
      </c>
      <c r="I671" s="100">
        <v>2</v>
      </c>
    </row>
    <row r="672" spans="1:9" ht="13.5" x14ac:dyDescent="0.25">
      <c r="A672" s="94" t="s">
        <v>856</v>
      </c>
      <c r="B672" s="95" t="s">
        <v>280</v>
      </c>
      <c r="C672" s="94" t="s">
        <v>856</v>
      </c>
      <c r="D672" s="94" t="s">
        <v>256</v>
      </c>
      <c r="E672" s="96">
        <v>38768</v>
      </c>
      <c r="F672" s="97">
        <f ca="1">DATEDIF(E672,TODAY(),"Y")</f>
        <v>10</v>
      </c>
      <c r="G672" s="98" t="s">
        <v>283</v>
      </c>
      <c r="H672" s="99">
        <v>23190</v>
      </c>
      <c r="I672" s="100">
        <v>5</v>
      </c>
    </row>
    <row r="673" spans="1:9" ht="13.5" x14ac:dyDescent="0.25">
      <c r="A673" s="94" t="s">
        <v>856</v>
      </c>
      <c r="B673" s="95" t="s">
        <v>271</v>
      </c>
      <c r="C673" s="94" t="s">
        <v>856</v>
      </c>
      <c r="D673" s="94" t="s">
        <v>247</v>
      </c>
      <c r="E673" s="96">
        <v>39040</v>
      </c>
      <c r="F673" s="97">
        <f ca="1">DATEDIF(E673,TODAY(),"Y")</f>
        <v>9</v>
      </c>
      <c r="G673" s="98"/>
      <c r="H673" s="99">
        <v>21580</v>
      </c>
      <c r="I673" s="100">
        <v>3</v>
      </c>
    </row>
    <row r="674" spans="1:9" ht="13.5" x14ac:dyDescent="0.25">
      <c r="A674" s="94" t="s">
        <v>856</v>
      </c>
      <c r="B674" s="95" t="s">
        <v>285</v>
      </c>
      <c r="C674" s="94" t="s">
        <v>856</v>
      </c>
      <c r="D674" s="94" t="s">
        <v>256</v>
      </c>
      <c r="E674" s="96">
        <v>39271</v>
      </c>
      <c r="F674" s="97">
        <f ca="1">DATEDIF(E674,TODAY(),"Y")</f>
        <v>9</v>
      </c>
      <c r="G674" s="98" t="s">
        <v>267</v>
      </c>
      <c r="H674" s="99">
        <v>80260</v>
      </c>
      <c r="I674" s="100">
        <v>3</v>
      </c>
    </row>
    <row r="675" spans="1:9" ht="13.5" x14ac:dyDescent="0.25">
      <c r="A675" s="101"/>
      <c r="B675" s="95"/>
      <c r="C675" s="101"/>
      <c r="D675" s="94"/>
      <c r="E675" s="96"/>
      <c r="F675" s="97"/>
      <c r="G675" s="98"/>
      <c r="H675" s="99"/>
      <c r="I675" s="100"/>
    </row>
    <row r="676" spans="1:9" ht="13.5" x14ac:dyDescent="0.25">
      <c r="A676" s="94" t="s">
        <v>930</v>
      </c>
      <c r="B676" s="95" t="s">
        <v>285</v>
      </c>
      <c r="C676" s="94" t="s">
        <v>930</v>
      </c>
      <c r="D676" s="94" t="s">
        <v>247</v>
      </c>
      <c r="E676" s="96">
        <v>31834</v>
      </c>
      <c r="F676" s="97">
        <f ca="1">DATEDIF(E676,TODAY(),"Y")</f>
        <v>29</v>
      </c>
      <c r="G676" s="98"/>
      <c r="H676" s="99">
        <v>23340</v>
      </c>
      <c r="I676" s="100">
        <v>4</v>
      </c>
    </row>
    <row r="677" spans="1:9" ht="13.5" x14ac:dyDescent="0.25">
      <c r="A677" s="94" t="s">
        <v>930</v>
      </c>
      <c r="B677" s="95" t="s">
        <v>271</v>
      </c>
      <c r="C677" s="94" t="s">
        <v>930</v>
      </c>
      <c r="D677" s="94" t="s">
        <v>247</v>
      </c>
      <c r="E677" s="96">
        <v>31883</v>
      </c>
      <c r="F677" s="97">
        <f ca="1">DATEDIF(E677,TODAY(),"Y")</f>
        <v>29</v>
      </c>
      <c r="G677" s="98"/>
      <c r="H677" s="99">
        <v>63610</v>
      </c>
      <c r="I677" s="100">
        <v>5</v>
      </c>
    </row>
    <row r="678" spans="1:9" ht="13.5" x14ac:dyDescent="0.25">
      <c r="A678" s="94" t="s">
        <v>930</v>
      </c>
      <c r="B678" s="95" t="s">
        <v>271</v>
      </c>
      <c r="C678" s="94" t="s">
        <v>930</v>
      </c>
      <c r="D678" s="94" t="s">
        <v>256</v>
      </c>
      <c r="E678" s="96">
        <v>31969</v>
      </c>
      <c r="F678" s="97">
        <f ca="1">DATEDIF(E678,TODAY(),"Y")</f>
        <v>29</v>
      </c>
      <c r="G678" s="98" t="s">
        <v>257</v>
      </c>
      <c r="H678" s="99">
        <v>24200</v>
      </c>
      <c r="I678" s="100">
        <v>5</v>
      </c>
    </row>
    <row r="679" spans="1:9" ht="13.5" x14ac:dyDescent="0.25">
      <c r="A679" s="94" t="s">
        <v>930</v>
      </c>
      <c r="B679" s="95" t="s">
        <v>285</v>
      </c>
      <c r="C679" s="94" t="s">
        <v>930</v>
      </c>
      <c r="D679" s="94" t="s">
        <v>261</v>
      </c>
      <c r="E679" s="96">
        <v>32081</v>
      </c>
      <c r="F679" s="97">
        <f ca="1">DATEDIF(E679,TODAY(),"Y")</f>
        <v>29</v>
      </c>
      <c r="G679" s="98" t="s">
        <v>283</v>
      </c>
      <c r="H679" s="99">
        <v>13455</v>
      </c>
      <c r="I679" s="100">
        <v>2</v>
      </c>
    </row>
    <row r="680" spans="1:9" ht="13.5" x14ac:dyDescent="0.25">
      <c r="A680" s="94" t="s">
        <v>930</v>
      </c>
      <c r="B680" s="95" t="s">
        <v>245</v>
      </c>
      <c r="C680" s="94" t="s">
        <v>930</v>
      </c>
      <c r="D680" s="94" t="s">
        <v>247</v>
      </c>
      <c r="E680" s="96">
        <v>32091</v>
      </c>
      <c r="F680" s="97">
        <f ca="1">DATEDIF(E680,TODAY(),"Y")</f>
        <v>28</v>
      </c>
      <c r="G680" s="98"/>
      <c r="H680" s="99">
        <v>34680</v>
      </c>
      <c r="I680" s="100">
        <v>5</v>
      </c>
    </row>
    <row r="681" spans="1:9" ht="13.5" x14ac:dyDescent="0.25">
      <c r="A681" s="94" t="s">
        <v>930</v>
      </c>
      <c r="B681" s="95" t="s">
        <v>280</v>
      </c>
      <c r="C681" s="94" t="s">
        <v>930</v>
      </c>
      <c r="D681" s="94" t="s">
        <v>247</v>
      </c>
      <c r="E681" s="96">
        <v>32103</v>
      </c>
      <c r="F681" s="97">
        <f ca="1">DATEDIF(E681,TODAY(),"Y")</f>
        <v>28</v>
      </c>
      <c r="G681" s="98"/>
      <c r="H681" s="99">
        <v>26020</v>
      </c>
      <c r="I681" s="100">
        <v>5</v>
      </c>
    </row>
    <row r="682" spans="1:9" ht="13.5" x14ac:dyDescent="0.25">
      <c r="A682" s="94" t="s">
        <v>930</v>
      </c>
      <c r="B682" s="95" t="s">
        <v>285</v>
      </c>
      <c r="C682" s="94" t="s">
        <v>930</v>
      </c>
      <c r="D682" s="94" t="s">
        <v>247</v>
      </c>
      <c r="E682" s="96">
        <v>32185</v>
      </c>
      <c r="F682" s="97">
        <f ca="1">DATEDIF(E682,TODAY(),"Y")</f>
        <v>28</v>
      </c>
      <c r="G682" s="98"/>
      <c r="H682" s="99">
        <v>62480</v>
      </c>
      <c r="I682" s="100">
        <v>5</v>
      </c>
    </row>
    <row r="683" spans="1:9" ht="13.5" x14ac:dyDescent="0.25">
      <c r="A683" s="94" t="s">
        <v>930</v>
      </c>
      <c r="B683" s="95" t="s">
        <v>271</v>
      </c>
      <c r="C683" s="94" t="s">
        <v>930</v>
      </c>
      <c r="D683" s="94" t="s">
        <v>247</v>
      </c>
      <c r="E683" s="96">
        <v>32196</v>
      </c>
      <c r="F683" s="97">
        <f ca="1">DATEDIF(E683,TODAY(),"Y")</f>
        <v>28</v>
      </c>
      <c r="G683" s="98"/>
      <c r="H683" s="99">
        <v>61134</v>
      </c>
      <c r="I683" s="100">
        <v>4</v>
      </c>
    </row>
    <row r="684" spans="1:9" ht="13.5" x14ac:dyDescent="0.25">
      <c r="A684" s="94" t="s">
        <v>930</v>
      </c>
      <c r="B684" s="95" t="s">
        <v>285</v>
      </c>
      <c r="C684" s="94" t="s">
        <v>930</v>
      </c>
      <c r="D684" s="94" t="s">
        <v>247</v>
      </c>
      <c r="E684" s="96">
        <v>32252</v>
      </c>
      <c r="F684" s="97">
        <f ca="1">DATEDIF(E684,TODAY(),"Y")</f>
        <v>28</v>
      </c>
      <c r="G684" s="98"/>
      <c r="H684" s="99">
        <v>57500</v>
      </c>
      <c r="I684" s="100">
        <v>1</v>
      </c>
    </row>
    <row r="685" spans="1:9" ht="13.5" x14ac:dyDescent="0.25">
      <c r="A685" s="94" t="s">
        <v>930</v>
      </c>
      <c r="B685" s="95" t="s">
        <v>285</v>
      </c>
      <c r="C685" s="94" t="s">
        <v>930</v>
      </c>
      <c r="D685" s="94" t="s">
        <v>256</v>
      </c>
      <c r="E685" s="96">
        <v>32371</v>
      </c>
      <c r="F685" s="97">
        <f ca="1">DATEDIF(E685,TODAY(),"Y")</f>
        <v>28</v>
      </c>
      <c r="G685" s="98" t="s">
        <v>262</v>
      </c>
      <c r="H685" s="99">
        <v>46550</v>
      </c>
      <c r="I685" s="100">
        <v>4</v>
      </c>
    </row>
    <row r="686" spans="1:9" ht="13.5" x14ac:dyDescent="0.25">
      <c r="A686" s="94" t="s">
        <v>930</v>
      </c>
      <c r="B686" s="95" t="s">
        <v>245</v>
      </c>
      <c r="C686" s="94" t="s">
        <v>930</v>
      </c>
      <c r="D686" s="94" t="s">
        <v>247</v>
      </c>
      <c r="E686" s="96">
        <v>32479</v>
      </c>
      <c r="F686" s="97">
        <f ca="1">DATEDIF(E686,TODAY(),"Y")</f>
        <v>27</v>
      </c>
      <c r="G686" s="98"/>
      <c r="H686" s="99">
        <v>59128</v>
      </c>
      <c r="I686" s="100">
        <v>4</v>
      </c>
    </row>
    <row r="687" spans="1:9" ht="13.5" x14ac:dyDescent="0.25">
      <c r="A687" s="94" t="s">
        <v>930</v>
      </c>
      <c r="B687" s="95" t="s">
        <v>271</v>
      </c>
      <c r="C687" s="94" t="s">
        <v>930</v>
      </c>
      <c r="D687" s="94" t="s">
        <v>256</v>
      </c>
      <c r="E687" s="96">
        <v>32496</v>
      </c>
      <c r="F687" s="97">
        <f ca="1">DATEDIF(E687,TODAY(),"Y")</f>
        <v>27</v>
      </c>
      <c r="G687" s="98" t="s">
        <v>262</v>
      </c>
      <c r="H687" s="99">
        <v>62780</v>
      </c>
      <c r="I687" s="100">
        <v>3</v>
      </c>
    </row>
    <row r="688" spans="1:9" ht="13.5" x14ac:dyDescent="0.25">
      <c r="A688" s="94" t="s">
        <v>930</v>
      </c>
      <c r="B688" s="95" t="s">
        <v>245</v>
      </c>
      <c r="C688" s="94" t="s">
        <v>930</v>
      </c>
      <c r="D688" s="94" t="s">
        <v>247</v>
      </c>
      <c r="E688" s="96">
        <v>32510</v>
      </c>
      <c r="F688" s="97">
        <f ca="1">DATEDIF(E688,TODAY(),"Y")</f>
        <v>27</v>
      </c>
      <c r="G688" s="98"/>
      <c r="H688" s="99">
        <v>70300</v>
      </c>
      <c r="I688" s="100">
        <v>3</v>
      </c>
    </row>
    <row r="689" spans="1:9" ht="13.5" x14ac:dyDescent="0.25">
      <c r="A689" s="94" t="s">
        <v>930</v>
      </c>
      <c r="B689" s="95" t="s">
        <v>266</v>
      </c>
      <c r="C689" s="94" t="s">
        <v>930</v>
      </c>
      <c r="D689" s="94" t="s">
        <v>256</v>
      </c>
      <c r="E689" s="96">
        <v>32611</v>
      </c>
      <c r="F689" s="97">
        <f ca="1">DATEDIF(E689,TODAY(),"Y")</f>
        <v>27</v>
      </c>
      <c r="G689" s="98" t="s">
        <v>267</v>
      </c>
      <c r="H689" s="99">
        <v>32160</v>
      </c>
      <c r="I689" s="100">
        <v>3</v>
      </c>
    </row>
    <row r="690" spans="1:9" ht="13.5" x14ac:dyDescent="0.25">
      <c r="A690" s="94" t="s">
        <v>930</v>
      </c>
      <c r="B690" s="95" t="s">
        <v>271</v>
      </c>
      <c r="C690" s="94" t="s">
        <v>930</v>
      </c>
      <c r="D690" s="94" t="s">
        <v>256</v>
      </c>
      <c r="E690" s="96">
        <v>32647</v>
      </c>
      <c r="F690" s="97">
        <f ca="1">DATEDIF(E690,TODAY(),"Y")</f>
        <v>27</v>
      </c>
      <c r="G690" s="98" t="s">
        <v>262</v>
      </c>
      <c r="H690" s="99">
        <v>59490</v>
      </c>
      <c r="I690" s="100">
        <v>3</v>
      </c>
    </row>
    <row r="691" spans="1:9" ht="13.5" x14ac:dyDescent="0.25">
      <c r="A691" s="94" t="s">
        <v>930</v>
      </c>
      <c r="B691" s="95" t="s">
        <v>285</v>
      </c>
      <c r="C691" s="94" t="s">
        <v>930</v>
      </c>
      <c r="D691" s="94" t="s">
        <v>247</v>
      </c>
      <c r="E691" s="96">
        <v>32664</v>
      </c>
      <c r="F691" s="97">
        <f ca="1">DATEDIF(E691,TODAY(),"Y")</f>
        <v>27</v>
      </c>
      <c r="G691" s="98"/>
      <c r="H691" s="99">
        <v>70150</v>
      </c>
      <c r="I691" s="100">
        <v>2</v>
      </c>
    </row>
    <row r="692" spans="1:9" ht="13.5" x14ac:dyDescent="0.25">
      <c r="A692" s="94" t="s">
        <v>930</v>
      </c>
      <c r="B692" s="95" t="s">
        <v>271</v>
      </c>
      <c r="C692" s="94" t="s">
        <v>930</v>
      </c>
      <c r="D692" s="94" t="s">
        <v>247</v>
      </c>
      <c r="E692" s="96">
        <v>32667</v>
      </c>
      <c r="F692" s="97">
        <f ca="1">DATEDIF(E692,TODAY(),"Y")</f>
        <v>27</v>
      </c>
      <c r="G692" s="98"/>
      <c r="H692" s="99">
        <v>63290</v>
      </c>
      <c r="I692" s="100">
        <v>5</v>
      </c>
    </row>
    <row r="693" spans="1:9" ht="13.5" x14ac:dyDescent="0.25">
      <c r="A693" s="94" t="s">
        <v>930</v>
      </c>
      <c r="B693" s="95" t="s">
        <v>280</v>
      </c>
      <c r="C693" s="94" t="s">
        <v>930</v>
      </c>
      <c r="D693" s="94" t="s">
        <v>256</v>
      </c>
      <c r="E693" s="96">
        <v>32668</v>
      </c>
      <c r="F693" s="97">
        <f ca="1">DATEDIF(E693,TODAY(),"Y")</f>
        <v>27</v>
      </c>
      <c r="G693" s="98" t="s">
        <v>283</v>
      </c>
      <c r="H693" s="99">
        <v>46410</v>
      </c>
      <c r="I693" s="100">
        <v>2</v>
      </c>
    </row>
    <row r="694" spans="1:9" ht="13.5" x14ac:dyDescent="0.25">
      <c r="A694" s="94" t="s">
        <v>930</v>
      </c>
      <c r="B694" s="95" t="s">
        <v>285</v>
      </c>
      <c r="C694" s="94" t="s">
        <v>930</v>
      </c>
      <c r="D694" s="94" t="s">
        <v>261</v>
      </c>
      <c r="E694" s="96">
        <v>32695</v>
      </c>
      <c r="F694" s="97">
        <f ca="1">DATEDIF(E694,TODAY(),"Y")</f>
        <v>27</v>
      </c>
      <c r="G694" s="98" t="s">
        <v>257</v>
      </c>
      <c r="H694" s="99">
        <v>19935</v>
      </c>
      <c r="I694" s="100">
        <v>1</v>
      </c>
    </row>
    <row r="695" spans="1:9" ht="13.5" x14ac:dyDescent="0.25">
      <c r="A695" s="94" t="s">
        <v>930</v>
      </c>
      <c r="B695" s="95" t="s">
        <v>271</v>
      </c>
      <c r="C695" s="94" t="s">
        <v>930</v>
      </c>
      <c r="D695" s="94" t="s">
        <v>261</v>
      </c>
      <c r="E695" s="96">
        <v>32732</v>
      </c>
      <c r="F695" s="97">
        <f ca="1">DATEDIF(E695,TODAY(),"Y")</f>
        <v>27</v>
      </c>
      <c r="G695" s="98" t="s">
        <v>267</v>
      </c>
      <c r="H695" s="99">
        <v>27710</v>
      </c>
      <c r="I695" s="100">
        <v>3</v>
      </c>
    </row>
    <row r="696" spans="1:9" ht="13.5" x14ac:dyDescent="0.25">
      <c r="A696" s="94" t="s">
        <v>930</v>
      </c>
      <c r="B696" s="95" t="s">
        <v>285</v>
      </c>
      <c r="C696" s="94" t="s">
        <v>930</v>
      </c>
      <c r="D696" s="94" t="s">
        <v>247</v>
      </c>
      <c r="E696" s="96">
        <v>32816</v>
      </c>
      <c r="F696" s="97">
        <f ca="1">DATEDIF(E696,TODAY(),"Y")</f>
        <v>27</v>
      </c>
      <c r="G696" s="98"/>
      <c r="H696" s="99">
        <v>75550</v>
      </c>
      <c r="I696" s="100">
        <v>3</v>
      </c>
    </row>
    <row r="697" spans="1:9" ht="13.5" x14ac:dyDescent="0.25">
      <c r="A697" s="94" t="s">
        <v>930</v>
      </c>
      <c r="B697" s="95" t="s">
        <v>280</v>
      </c>
      <c r="C697" s="94" t="s">
        <v>930</v>
      </c>
      <c r="D697" s="94" t="s">
        <v>247</v>
      </c>
      <c r="E697" s="96">
        <v>32825</v>
      </c>
      <c r="F697" s="97">
        <f ca="1">DATEDIF(E697,TODAY(),"Y")</f>
        <v>26</v>
      </c>
      <c r="G697" s="98"/>
      <c r="H697" s="99">
        <v>78590</v>
      </c>
      <c r="I697" s="100">
        <v>1</v>
      </c>
    </row>
    <row r="698" spans="1:9" ht="13.5" x14ac:dyDescent="0.25">
      <c r="A698" s="94" t="s">
        <v>930</v>
      </c>
      <c r="B698" s="95" t="s">
        <v>285</v>
      </c>
      <c r="C698" s="94" t="s">
        <v>930</v>
      </c>
      <c r="D698" s="94" t="s">
        <v>261</v>
      </c>
      <c r="E698" s="96">
        <v>32830</v>
      </c>
      <c r="F698" s="97">
        <f ca="1">DATEDIF(E698,TODAY(),"Y")</f>
        <v>26</v>
      </c>
      <c r="G698" s="98" t="s">
        <v>276</v>
      </c>
      <c r="H698" s="99">
        <v>11230</v>
      </c>
      <c r="I698" s="100">
        <v>4</v>
      </c>
    </row>
    <row r="699" spans="1:9" ht="13.5" x14ac:dyDescent="0.25">
      <c r="A699" s="94" t="s">
        <v>930</v>
      </c>
      <c r="B699" s="95" t="s">
        <v>271</v>
      </c>
      <c r="C699" s="94" t="s">
        <v>930</v>
      </c>
      <c r="D699" s="94" t="s">
        <v>261</v>
      </c>
      <c r="E699" s="96">
        <v>32844</v>
      </c>
      <c r="F699" s="97">
        <f ca="1">DATEDIF(E699,TODAY(),"Y")</f>
        <v>26</v>
      </c>
      <c r="G699" s="98" t="s">
        <v>257</v>
      </c>
      <c r="H699" s="99">
        <v>49545</v>
      </c>
      <c r="I699" s="100">
        <v>2</v>
      </c>
    </row>
    <row r="700" spans="1:9" ht="13.5" x14ac:dyDescent="0.25">
      <c r="A700" s="94" t="s">
        <v>930</v>
      </c>
      <c r="B700" s="95" t="s">
        <v>280</v>
      </c>
      <c r="C700" s="94" t="s">
        <v>930</v>
      </c>
      <c r="D700" s="94" t="s">
        <v>247</v>
      </c>
      <c r="E700" s="96">
        <v>32849</v>
      </c>
      <c r="F700" s="97">
        <f ca="1">DATEDIF(E700,TODAY(),"Y")</f>
        <v>26</v>
      </c>
      <c r="G700" s="98"/>
      <c r="H700" s="99">
        <v>35240</v>
      </c>
      <c r="I700" s="100">
        <v>3</v>
      </c>
    </row>
    <row r="701" spans="1:9" ht="13.5" x14ac:dyDescent="0.25">
      <c r="A701" s="94" t="s">
        <v>930</v>
      </c>
      <c r="B701" s="95" t="s">
        <v>285</v>
      </c>
      <c r="C701" s="94" t="s">
        <v>930</v>
      </c>
      <c r="D701" s="94" t="s">
        <v>256</v>
      </c>
      <c r="E701" s="96">
        <v>32976</v>
      </c>
      <c r="F701" s="97">
        <f ca="1">DATEDIF(E701,TODAY(),"Y")</f>
        <v>26</v>
      </c>
      <c r="G701" s="98" t="s">
        <v>283</v>
      </c>
      <c r="H701" s="99">
        <v>87220</v>
      </c>
      <c r="I701" s="100">
        <v>1</v>
      </c>
    </row>
    <row r="702" spans="1:9" ht="13.5" x14ac:dyDescent="0.25">
      <c r="A702" s="94" t="s">
        <v>930</v>
      </c>
      <c r="B702" s="95" t="s">
        <v>271</v>
      </c>
      <c r="C702" s="94" t="s">
        <v>930</v>
      </c>
      <c r="D702" s="94" t="s">
        <v>256</v>
      </c>
      <c r="E702" s="96">
        <v>33115</v>
      </c>
      <c r="F702" s="97">
        <f ca="1">DATEDIF(E702,TODAY(),"Y")</f>
        <v>26</v>
      </c>
      <c r="G702" s="98" t="s">
        <v>283</v>
      </c>
      <c r="H702" s="99">
        <v>73850</v>
      </c>
      <c r="I702" s="100">
        <v>2</v>
      </c>
    </row>
    <row r="703" spans="1:9" ht="13.5" x14ac:dyDescent="0.25">
      <c r="A703" s="94" t="s">
        <v>930</v>
      </c>
      <c r="B703" s="95" t="s">
        <v>285</v>
      </c>
      <c r="C703" s="94" t="s">
        <v>930</v>
      </c>
      <c r="D703" s="94" t="s">
        <v>247</v>
      </c>
      <c r="E703" s="96">
        <v>33224</v>
      </c>
      <c r="F703" s="97">
        <f ca="1">DATEDIF(E703,TODAY(),"Y")</f>
        <v>25</v>
      </c>
      <c r="G703" s="98"/>
      <c r="H703" s="99">
        <v>45105</v>
      </c>
      <c r="I703" s="100">
        <v>1</v>
      </c>
    </row>
    <row r="704" spans="1:9" ht="13.5" x14ac:dyDescent="0.25">
      <c r="A704" s="94" t="s">
        <v>930</v>
      </c>
      <c r="B704" s="95" t="s">
        <v>271</v>
      </c>
      <c r="C704" s="94" t="s">
        <v>930</v>
      </c>
      <c r="D704" s="94" t="s">
        <v>256</v>
      </c>
      <c r="E704" s="96">
        <v>33360</v>
      </c>
      <c r="F704" s="97">
        <f ca="1">DATEDIF(E704,TODAY(),"Y")</f>
        <v>25</v>
      </c>
      <c r="G704" s="98" t="s">
        <v>257</v>
      </c>
      <c r="H704" s="99">
        <v>69510</v>
      </c>
      <c r="I704" s="100">
        <v>5</v>
      </c>
    </row>
    <row r="705" spans="1:9" ht="13.5" x14ac:dyDescent="0.25">
      <c r="A705" s="94" t="s">
        <v>930</v>
      </c>
      <c r="B705" s="95" t="s">
        <v>271</v>
      </c>
      <c r="C705" s="94" t="s">
        <v>930</v>
      </c>
      <c r="D705" s="94" t="s">
        <v>247</v>
      </c>
      <c r="E705" s="96">
        <v>33413</v>
      </c>
      <c r="F705" s="97">
        <f ca="1">DATEDIF(E705,TODAY(),"Y")</f>
        <v>25</v>
      </c>
      <c r="G705" s="98"/>
      <c r="H705" s="99">
        <v>64263</v>
      </c>
      <c r="I705" s="100">
        <v>3</v>
      </c>
    </row>
    <row r="706" spans="1:9" ht="13.5" x14ac:dyDescent="0.25">
      <c r="A706" s="94" t="s">
        <v>930</v>
      </c>
      <c r="B706" s="95" t="s">
        <v>285</v>
      </c>
      <c r="C706" s="94" t="s">
        <v>930</v>
      </c>
      <c r="D706" s="94" t="s">
        <v>252</v>
      </c>
      <c r="E706" s="96">
        <v>33515</v>
      </c>
      <c r="F706" s="97">
        <f ca="1">DATEDIF(E706,TODAY(),"Y")</f>
        <v>25</v>
      </c>
      <c r="G706" s="98"/>
      <c r="H706" s="99">
        <v>26944</v>
      </c>
      <c r="I706" s="100">
        <v>4</v>
      </c>
    </row>
    <row r="707" spans="1:9" ht="13.5" x14ac:dyDescent="0.25">
      <c r="A707" s="94" t="s">
        <v>930</v>
      </c>
      <c r="B707" s="95" t="s">
        <v>245</v>
      </c>
      <c r="C707" s="94" t="s">
        <v>930</v>
      </c>
      <c r="D707" s="94" t="s">
        <v>261</v>
      </c>
      <c r="E707" s="96">
        <v>33650</v>
      </c>
      <c r="F707" s="97">
        <f ca="1">DATEDIF(E707,TODAY(),"Y")</f>
        <v>24</v>
      </c>
      <c r="G707" s="98" t="s">
        <v>276</v>
      </c>
      <c r="H707" s="99">
        <v>23000</v>
      </c>
      <c r="I707" s="100">
        <v>4</v>
      </c>
    </row>
    <row r="708" spans="1:9" ht="13.5" x14ac:dyDescent="0.25">
      <c r="A708" s="94" t="s">
        <v>930</v>
      </c>
      <c r="B708" s="95" t="s">
        <v>285</v>
      </c>
      <c r="C708" s="94" t="s">
        <v>930</v>
      </c>
      <c r="D708" s="94" t="s">
        <v>256</v>
      </c>
      <c r="E708" s="96">
        <v>33742</v>
      </c>
      <c r="F708" s="97">
        <f ca="1">DATEDIF(E708,TODAY(),"Y")</f>
        <v>24</v>
      </c>
      <c r="G708" s="98" t="s">
        <v>267</v>
      </c>
      <c r="H708" s="99">
        <v>64780</v>
      </c>
      <c r="I708" s="100">
        <v>5</v>
      </c>
    </row>
    <row r="709" spans="1:9" ht="13.5" x14ac:dyDescent="0.25">
      <c r="A709" s="94" t="s">
        <v>930</v>
      </c>
      <c r="B709" s="95" t="s">
        <v>285</v>
      </c>
      <c r="C709" s="94" t="s">
        <v>930</v>
      </c>
      <c r="D709" s="94" t="s">
        <v>256</v>
      </c>
      <c r="E709" s="96">
        <v>33742</v>
      </c>
      <c r="F709" s="97">
        <f ca="1">DATEDIF(E709,TODAY(),"Y")</f>
        <v>24</v>
      </c>
      <c r="G709" s="98" t="s">
        <v>267</v>
      </c>
      <c r="H709" s="99">
        <v>64780</v>
      </c>
      <c r="I709" s="100">
        <v>5</v>
      </c>
    </row>
    <row r="710" spans="1:9" ht="13.5" x14ac:dyDescent="0.25">
      <c r="A710" s="94" t="s">
        <v>930</v>
      </c>
      <c r="B710" s="95" t="s">
        <v>285</v>
      </c>
      <c r="C710" s="94" t="s">
        <v>930</v>
      </c>
      <c r="D710" s="94" t="s">
        <v>256</v>
      </c>
      <c r="E710" s="96">
        <v>33827</v>
      </c>
      <c r="F710" s="97">
        <f ca="1">DATEDIF(E710,TODAY(),"Y")</f>
        <v>24</v>
      </c>
      <c r="G710" s="98" t="s">
        <v>283</v>
      </c>
      <c r="H710" s="99">
        <v>33590</v>
      </c>
      <c r="I710" s="100">
        <v>5</v>
      </c>
    </row>
    <row r="711" spans="1:9" ht="13.5" x14ac:dyDescent="0.25">
      <c r="A711" s="94" t="s">
        <v>930</v>
      </c>
      <c r="B711" s="95" t="s">
        <v>285</v>
      </c>
      <c r="C711" s="94" t="s">
        <v>930</v>
      </c>
      <c r="D711" s="94" t="s">
        <v>252</v>
      </c>
      <c r="E711" s="96">
        <v>33937</v>
      </c>
      <c r="F711" s="97">
        <f ca="1">DATEDIF(E711,TODAY(),"Y")</f>
        <v>23</v>
      </c>
      <c r="G711" s="98"/>
      <c r="H711" s="99">
        <v>33752</v>
      </c>
      <c r="I711" s="100">
        <v>3</v>
      </c>
    </row>
    <row r="712" spans="1:9" ht="13.5" x14ac:dyDescent="0.25">
      <c r="A712" s="94" t="s">
        <v>930</v>
      </c>
      <c r="B712" s="95" t="s">
        <v>285</v>
      </c>
      <c r="C712" s="94" t="s">
        <v>930</v>
      </c>
      <c r="D712" s="94" t="s">
        <v>256</v>
      </c>
      <c r="E712" s="96">
        <v>33966</v>
      </c>
      <c r="F712" s="97">
        <f ca="1">DATEDIF(E712,TODAY(),"Y")</f>
        <v>23</v>
      </c>
      <c r="G712" s="98" t="s">
        <v>257</v>
      </c>
      <c r="H712" s="99">
        <v>58370</v>
      </c>
      <c r="I712" s="100">
        <v>5</v>
      </c>
    </row>
    <row r="713" spans="1:9" ht="13.5" x14ac:dyDescent="0.25">
      <c r="A713" s="94" t="s">
        <v>930</v>
      </c>
      <c r="B713" s="95" t="s">
        <v>280</v>
      </c>
      <c r="C713" s="94" t="s">
        <v>930</v>
      </c>
      <c r="D713" s="94" t="s">
        <v>247</v>
      </c>
      <c r="E713" s="96">
        <v>33970</v>
      </c>
      <c r="F713" s="97">
        <f ca="1">DATEDIF(E713,TODAY(),"Y")</f>
        <v>23</v>
      </c>
      <c r="G713" s="98"/>
      <c r="H713" s="99">
        <v>41770</v>
      </c>
      <c r="I713" s="100">
        <v>5</v>
      </c>
    </row>
    <row r="714" spans="1:9" ht="13.5" x14ac:dyDescent="0.25">
      <c r="A714" s="94" t="s">
        <v>930</v>
      </c>
      <c r="B714" s="95" t="s">
        <v>266</v>
      </c>
      <c r="C714" s="94" t="s">
        <v>930</v>
      </c>
      <c r="D714" s="94" t="s">
        <v>261</v>
      </c>
      <c r="E714" s="96">
        <v>33987</v>
      </c>
      <c r="F714" s="97">
        <f ca="1">DATEDIF(E714,TODAY(),"Y")</f>
        <v>23</v>
      </c>
      <c r="G714" s="98" t="s">
        <v>283</v>
      </c>
      <c r="H714" s="99">
        <v>38105</v>
      </c>
      <c r="I714" s="100">
        <v>2</v>
      </c>
    </row>
    <row r="715" spans="1:9" ht="13.5" x14ac:dyDescent="0.25">
      <c r="A715" s="94" t="s">
        <v>930</v>
      </c>
      <c r="B715" s="95" t="s">
        <v>251</v>
      </c>
      <c r="C715" s="94" t="s">
        <v>930</v>
      </c>
      <c r="D715" s="94" t="s">
        <v>256</v>
      </c>
      <c r="E715" s="96">
        <v>33997</v>
      </c>
      <c r="F715" s="97">
        <f ca="1">DATEDIF(E715,TODAY(),"Y")</f>
        <v>23</v>
      </c>
      <c r="G715" s="98" t="s">
        <v>257</v>
      </c>
      <c r="H715" s="99">
        <v>31690</v>
      </c>
      <c r="I715" s="100">
        <v>4</v>
      </c>
    </row>
    <row r="716" spans="1:9" ht="13.5" x14ac:dyDescent="0.25">
      <c r="A716" s="94" t="s">
        <v>930</v>
      </c>
      <c r="B716" s="95" t="s">
        <v>280</v>
      </c>
      <c r="C716" s="94" t="s">
        <v>930</v>
      </c>
      <c r="D716" s="94" t="s">
        <v>247</v>
      </c>
      <c r="E716" s="96">
        <v>34028</v>
      </c>
      <c r="F716" s="97">
        <f ca="1">DATEDIF(E716,TODAY(),"Y")</f>
        <v>23</v>
      </c>
      <c r="G716" s="98"/>
      <c r="H716" s="99">
        <v>87830</v>
      </c>
      <c r="I716" s="100">
        <v>2</v>
      </c>
    </row>
    <row r="717" spans="1:9" ht="13.5" x14ac:dyDescent="0.25">
      <c r="A717" s="94" t="s">
        <v>930</v>
      </c>
      <c r="B717" s="95" t="s">
        <v>271</v>
      </c>
      <c r="C717" s="94" t="s">
        <v>930</v>
      </c>
      <c r="D717" s="94" t="s">
        <v>256</v>
      </c>
      <c r="E717" s="96">
        <v>34054</v>
      </c>
      <c r="F717" s="97">
        <f ca="1">DATEDIF(E717,TODAY(),"Y")</f>
        <v>23</v>
      </c>
      <c r="G717" s="98" t="s">
        <v>257</v>
      </c>
      <c r="H717" s="99">
        <v>27130</v>
      </c>
      <c r="I717" s="100">
        <v>5</v>
      </c>
    </row>
    <row r="718" spans="1:9" ht="13.5" x14ac:dyDescent="0.25">
      <c r="A718" s="94" t="s">
        <v>930</v>
      </c>
      <c r="B718" s="95" t="s">
        <v>285</v>
      </c>
      <c r="C718" s="94" t="s">
        <v>930</v>
      </c>
      <c r="D718" s="94" t="s">
        <v>261</v>
      </c>
      <c r="E718" s="96">
        <v>34156</v>
      </c>
      <c r="F718" s="97">
        <f ca="1">DATEDIF(E718,TODAY(),"Y")</f>
        <v>23</v>
      </c>
      <c r="G718" s="98" t="s">
        <v>262</v>
      </c>
      <c r="H718" s="99">
        <v>37660</v>
      </c>
      <c r="I718" s="100">
        <v>4</v>
      </c>
    </row>
    <row r="719" spans="1:9" ht="13.5" x14ac:dyDescent="0.25">
      <c r="A719" s="94" t="s">
        <v>930</v>
      </c>
      <c r="B719" s="95" t="s">
        <v>245</v>
      </c>
      <c r="C719" s="94" t="s">
        <v>930</v>
      </c>
      <c r="D719" s="94" t="s">
        <v>261</v>
      </c>
      <c r="E719" s="96">
        <v>34208</v>
      </c>
      <c r="F719" s="97">
        <f ca="1">DATEDIF(E719,TODAY(),"Y")</f>
        <v>23</v>
      </c>
      <c r="G719" s="98" t="s">
        <v>262</v>
      </c>
      <c r="H719" s="99">
        <v>13690</v>
      </c>
      <c r="I719" s="100">
        <v>5</v>
      </c>
    </row>
    <row r="720" spans="1:9" ht="13.5" x14ac:dyDescent="0.25">
      <c r="A720" s="94" t="s">
        <v>930</v>
      </c>
      <c r="B720" s="95" t="s">
        <v>285</v>
      </c>
      <c r="C720" s="94" t="s">
        <v>930</v>
      </c>
      <c r="D720" s="94" t="s">
        <v>252</v>
      </c>
      <c r="E720" s="96">
        <v>34266</v>
      </c>
      <c r="F720" s="97">
        <f ca="1">DATEDIF(E720,TODAY(),"Y")</f>
        <v>23</v>
      </c>
      <c r="G720" s="98"/>
      <c r="H720" s="99">
        <v>28768</v>
      </c>
      <c r="I720" s="100">
        <v>3</v>
      </c>
    </row>
    <row r="721" spans="1:9" ht="13.5" x14ac:dyDescent="0.25">
      <c r="A721" s="94" t="s">
        <v>930</v>
      </c>
      <c r="B721" s="95" t="s">
        <v>285</v>
      </c>
      <c r="C721" s="94" t="s">
        <v>930</v>
      </c>
      <c r="D721" s="94" t="s">
        <v>256</v>
      </c>
      <c r="E721" s="96">
        <v>34317</v>
      </c>
      <c r="F721" s="97">
        <f ca="1">DATEDIF(E721,TODAY(),"Y")</f>
        <v>22</v>
      </c>
      <c r="G721" s="98" t="s">
        <v>283</v>
      </c>
      <c r="H721" s="99">
        <v>41380</v>
      </c>
      <c r="I721" s="100">
        <v>2</v>
      </c>
    </row>
    <row r="722" spans="1:9" ht="13.5" x14ac:dyDescent="0.25">
      <c r="A722" s="94" t="s">
        <v>930</v>
      </c>
      <c r="B722" s="95" t="s">
        <v>266</v>
      </c>
      <c r="C722" s="94" t="s">
        <v>930</v>
      </c>
      <c r="D722" s="94" t="s">
        <v>256</v>
      </c>
      <c r="E722" s="96">
        <v>34466</v>
      </c>
      <c r="F722" s="97">
        <f ca="1">DATEDIF(E722,TODAY(),"Y")</f>
        <v>22</v>
      </c>
      <c r="G722" s="98" t="s">
        <v>257</v>
      </c>
      <c r="H722" s="99">
        <v>86320</v>
      </c>
      <c r="I722" s="100">
        <v>4</v>
      </c>
    </row>
    <row r="723" spans="1:9" ht="13.5" x14ac:dyDescent="0.25">
      <c r="A723" s="94" t="s">
        <v>930</v>
      </c>
      <c r="B723" s="95" t="s">
        <v>285</v>
      </c>
      <c r="C723" s="94" t="s">
        <v>930</v>
      </c>
      <c r="D723" s="94" t="s">
        <v>247</v>
      </c>
      <c r="E723" s="96">
        <v>34516</v>
      </c>
      <c r="F723" s="97">
        <f ca="1">DATEDIF(E723,TODAY(),"Y")</f>
        <v>22</v>
      </c>
      <c r="G723" s="98"/>
      <c r="H723" s="99">
        <v>45030</v>
      </c>
      <c r="I723" s="100">
        <v>3</v>
      </c>
    </row>
    <row r="724" spans="1:9" ht="13.5" x14ac:dyDescent="0.25">
      <c r="A724" s="94" t="s">
        <v>930</v>
      </c>
      <c r="B724" s="95" t="s">
        <v>285</v>
      </c>
      <c r="C724" s="94" t="s">
        <v>930</v>
      </c>
      <c r="D724" s="94" t="s">
        <v>256</v>
      </c>
      <c r="E724" s="96">
        <v>34715</v>
      </c>
      <c r="F724" s="97">
        <f ca="1">DATEDIF(E724,TODAY(),"Y")</f>
        <v>21</v>
      </c>
      <c r="G724" s="98" t="s">
        <v>262</v>
      </c>
      <c r="H724" s="99">
        <v>64470</v>
      </c>
      <c r="I724" s="100">
        <v>5</v>
      </c>
    </row>
    <row r="725" spans="1:9" ht="13.5" x14ac:dyDescent="0.25">
      <c r="A725" s="94" t="s">
        <v>930</v>
      </c>
      <c r="B725" s="95" t="s">
        <v>280</v>
      </c>
      <c r="C725" s="94" t="s">
        <v>930</v>
      </c>
      <c r="D725" s="94" t="s">
        <v>261</v>
      </c>
      <c r="E725" s="96">
        <v>34743</v>
      </c>
      <c r="F725" s="97">
        <f ca="1">DATEDIF(E725,TODAY(),"Y")</f>
        <v>21</v>
      </c>
      <c r="G725" s="98" t="s">
        <v>276</v>
      </c>
      <c r="H725" s="99">
        <v>46105</v>
      </c>
      <c r="I725" s="100">
        <v>5</v>
      </c>
    </row>
    <row r="726" spans="1:9" ht="13.5" x14ac:dyDescent="0.25">
      <c r="A726" s="94" t="s">
        <v>930</v>
      </c>
      <c r="B726" s="95" t="s">
        <v>251</v>
      </c>
      <c r="C726" s="94" t="s">
        <v>930</v>
      </c>
      <c r="D726" s="94" t="s">
        <v>256</v>
      </c>
      <c r="E726" s="96">
        <v>34770</v>
      </c>
      <c r="F726" s="97">
        <f ca="1">DATEDIF(E726,TODAY(),"Y")</f>
        <v>21</v>
      </c>
      <c r="G726" s="98" t="s">
        <v>283</v>
      </c>
      <c r="H726" s="99">
        <v>48410</v>
      </c>
      <c r="I726" s="100">
        <v>5</v>
      </c>
    </row>
    <row r="727" spans="1:9" ht="13.5" x14ac:dyDescent="0.25">
      <c r="A727" s="94" t="s">
        <v>930</v>
      </c>
      <c r="B727" s="95" t="s">
        <v>245</v>
      </c>
      <c r="C727" s="94" t="s">
        <v>930</v>
      </c>
      <c r="D727" s="94" t="s">
        <v>247</v>
      </c>
      <c r="E727" s="96">
        <v>34883</v>
      </c>
      <c r="F727" s="97">
        <f ca="1">DATEDIF(E727,TODAY(),"Y")</f>
        <v>21</v>
      </c>
      <c r="G727" s="98"/>
      <c r="H727" s="99">
        <v>58250</v>
      </c>
      <c r="I727" s="100">
        <v>2</v>
      </c>
    </row>
    <row r="728" spans="1:9" ht="13.5" x14ac:dyDescent="0.25">
      <c r="A728" s="94" t="s">
        <v>930</v>
      </c>
      <c r="B728" s="95" t="s">
        <v>280</v>
      </c>
      <c r="C728" s="94" t="s">
        <v>930</v>
      </c>
      <c r="D728" s="94" t="s">
        <v>256</v>
      </c>
      <c r="E728" s="96">
        <v>34933</v>
      </c>
      <c r="F728" s="97">
        <f ca="1">DATEDIF(E728,TODAY(),"Y")</f>
        <v>21</v>
      </c>
      <c r="G728" s="98" t="s">
        <v>276</v>
      </c>
      <c r="H728" s="99">
        <v>77680</v>
      </c>
      <c r="I728" s="100">
        <v>3</v>
      </c>
    </row>
    <row r="729" spans="1:9" ht="13.5" x14ac:dyDescent="0.25">
      <c r="A729" s="94" t="s">
        <v>930</v>
      </c>
      <c r="B729" s="95" t="s">
        <v>271</v>
      </c>
      <c r="C729" s="94" t="s">
        <v>930</v>
      </c>
      <c r="D729" s="94" t="s">
        <v>256</v>
      </c>
      <c r="E729" s="96">
        <v>35020</v>
      </c>
      <c r="F729" s="97">
        <f ca="1">DATEDIF(E729,TODAY(),"Y")</f>
        <v>20</v>
      </c>
      <c r="G729" s="98" t="s">
        <v>276</v>
      </c>
      <c r="H729" s="99">
        <v>61850</v>
      </c>
      <c r="I729" s="100">
        <v>2</v>
      </c>
    </row>
    <row r="730" spans="1:9" ht="13.5" x14ac:dyDescent="0.25">
      <c r="A730" s="94" t="s">
        <v>930</v>
      </c>
      <c r="B730" s="95" t="s">
        <v>251</v>
      </c>
      <c r="C730" s="94" t="s">
        <v>930</v>
      </c>
      <c r="D730" s="94" t="s">
        <v>261</v>
      </c>
      <c r="E730" s="96">
        <v>35055</v>
      </c>
      <c r="F730" s="97">
        <f ca="1">DATEDIF(E730,TODAY(),"Y")</f>
        <v>20</v>
      </c>
      <c r="G730" s="98" t="s">
        <v>267</v>
      </c>
      <c r="H730" s="99">
        <v>19825</v>
      </c>
      <c r="I730" s="100">
        <v>2</v>
      </c>
    </row>
    <row r="731" spans="1:9" ht="13.5" x14ac:dyDescent="0.25">
      <c r="A731" s="94" t="s">
        <v>930</v>
      </c>
      <c r="B731" s="95" t="s">
        <v>266</v>
      </c>
      <c r="C731" s="94" t="s">
        <v>930</v>
      </c>
      <c r="D731" s="94" t="s">
        <v>252</v>
      </c>
      <c r="E731" s="96">
        <v>35148</v>
      </c>
      <c r="F731" s="97">
        <f ca="1">DATEDIF(E731,TODAY(),"Y")</f>
        <v>20</v>
      </c>
      <c r="G731" s="98"/>
      <c r="H731" s="99">
        <v>32536</v>
      </c>
      <c r="I731" s="100">
        <v>2</v>
      </c>
    </row>
    <row r="732" spans="1:9" ht="13.5" x14ac:dyDescent="0.25">
      <c r="A732" s="94" t="s">
        <v>930</v>
      </c>
      <c r="B732" s="95" t="s">
        <v>285</v>
      </c>
      <c r="C732" s="94" t="s">
        <v>930</v>
      </c>
      <c r="D732" s="94" t="s">
        <v>261</v>
      </c>
      <c r="E732" s="96">
        <v>35152</v>
      </c>
      <c r="F732" s="97">
        <f ca="1">DATEDIF(E732,TODAY(),"Y")</f>
        <v>20</v>
      </c>
      <c r="G732" s="98" t="s">
        <v>283</v>
      </c>
      <c r="H732" s="99">
        <v>26185</v>
      </c>
      <c r="I732" s="100">
        <v>5</v>
      </c>
    </row>
    <row r="733" spans="1:9" ht="13.5" x14ac:dyDescent="0.25">
      <c r="A733" s="94" t="s">
        <v>930</v>
      </c>
      <c r="B733" s="95" t="s">
        <v>285</v>
      </c>
      <c r="C733" s="94" t="s">
        <v>930</v>
      </c>
      <c r="D733" s="94" t="s">
        <v>256</v>
      </c>
      <c r="E733" s="96">
        <v>35239</v>
      </c>
      <c r="F733" s="97">
        <f ca="1">DATEDIF(E733,TODAY(),"Y")</f>
        <v>20</v>
      </c>
      <c r="G733" s="98" t="s">
        <v>283</v>
      </c>
      <c r="H733" s="99">
        <v>35460</v>
      </c>
      <c r="I733" s="100">
        <v>1</v>
      </c>
    </row>
    <row r="734" spans="1:9" ht="13.5" x14ac:dyDescent="0.25">
      <c r="A734" s="94" t="s">
        <v>930</v>
      </c>
      <c r="B734" s="95" t="s">
        <v>285</v>
      </c>
      <c r="C734" s="94" t="s">
        <v>930</v>
      </c>
      <c r="D734" s="94" t="s">
        <v>256</v>
      </c>
      <c r="E734" s="96">
        <v>35309</v>
      </c>
      <c r="F734" s="97">
        <f ca="1">DATEDIF(E734,TODAY(),"Y")</f>
        <v>20</v>
      </c>
      <c r="G734" s="98" t="s">
        <v>262</v>
      </c>
      <c r="H734" s="99">
        <v>71970</v>
      </c>
      <c r="I734" s="100">
        <v>4</v>
      </c>
    </row>
    <row r="735" spans="1:9" ht="13.5" x14ac:dyDescent="0.25">
      <c r="A735" s="94" t="s">
        <v>930</v>
      </c>
      <c r="B735" s="95" t="s">
        <v>285</v>
      </c>
      <c r="C735" s="94" t="s">
        <v>930</v>
      </c>
      <c r="D735" s="94" t="s">
        <v>256</v>
      </c>
      <c r="E735" s="96">
        <v>35362</v>
      </c>
      <c r="F735" s="97">
        <f ca="1">DATEDIF(E735,TODAY(),"Y")</f>
        <v>20</v>
      </c>
      <c r="G735" s="98" t="s">
        <v>262</v>
      </c>
      <c r="H735" s="99">
        <v>65320</v>
      </c>
      <c r="I735" s="100">
        <v>5</v>
      </c>
    </row>
    <row r="736" spans="1:9" ht="13.5" x14ac:dyDescent="0.25">
      <c r="A736" s="94" t="s">
        <v>930</v>
      </c>
      <c r="B736" s="95" t="s">
        <v>251</v>
      </c>
      <c r="C736" s="94" t="s">
        <v>930</v>
      </c>
      <c r="D736" s="94" t="s">
        <v>256</v>
      </c>
      <c r="E736" s="96">
        <v>35533</v>
      </c>
      <c r="F736" s="97">
        <f ca="1">DATEDIF(E736,TODAY(),"Y")</f>
        <v>19</v>
      </c>
      <c r="G736" s="98" t="s">
        <v>283</v>
      </c>
      <c r="H736" s="99">
        <v>47630</v>
      </c>
      <c r="I736" s="100">
        <v>3</v>
      </c>
    </row>
    <row r="737" spans="1:9" ht="13.5" x14ac:dyDescent="0.25">
      <c r="A737" s="94" t="s">
        <v>930</v>
      </c>
      <c r="B737" s="95" t="s">
        <v>285</v>
      </c>
      <c r="C737" s="94" t="s">
        <v>930</v>
      </c>
      <c r="D737" s="94" t="s">
        <v>261</v>
      </c>
      <c r="E737" s="96">
        <v>35608</v>
      </c>
      <c r="F737" s="97">
        <f ca="1">DATEDIF(E737,TODAY(),"Y")</f>
        <v>19</v>
      </c>
      <c r="G737" s="98" t="s">
        <v>257</v>
      </c>
      <c r="H737" s="99">
        <v>17205</v>
      </c>
      <c r="I737" s="100">
        <v>5</v>
      </c>
    </row>
    <row r="738" spans="1:9" ht="13.5" x14ac:dyDescent="0.25">
      <c r="A738" s="94" t="s">
        <v>930</v>
      </c>
      <c r="B738" s="95" t="s">
        <v>285</v>
      </c>
      <c r="C738" s="94" t="s">
        <v>930</v>
      </c>
      <c r="D738" s="94" t="s">
        <v>256</v>
      </c>
      <c r="E738" s="96">
        <v>35646</v>
      </c>
      <c r="F738" s="97">
        <f ca="1">DATEDIF(E738,TODAY(),"Y")</f>
        <v>19</v>
      </c>
      <c r="G738" s="98" t="s">
        <v>276</v>
      </c>
      <c r="H738" s="99">
        <v>49930</v>
      </c>
      <c r="I738" s="100">
        <v>1</v>
      </c>
    </row>
    <row r="739" spans="1:9" ht="13.5" x14ac:dyDescent="0.25">
      <c r="A739" s="94" t="s">
        <v>930</v>
      </c>
      <c r="B739" s="95" t="s">
        <v>285</v>
      </c>
      <c r="C739" s="94" t="s">
        <v>930</v>
      </c>
      <c r="D739" s="94" t="s">
        <v>256</v>
      </c>
      <c r="E739" s="96">
        <v>35657</v>
      </c>
      <c r="F739" s="97">
        <f ca="1">DATEDIF(E739,TODAY(),"Y")</f>
        <v>19</v>
      </c>
      <c r="G739" s="98" t="s">
        <v>257</v>
      </c>
      <c r="H739" s="99">
        <v>63060</v>
      </c>
      <c r="I739" s="100">
        <v>4</v>
      </c>
    </row>
    <row r="740" spans="1:9" ht="13.5" x14ac:dyDescent="0.25">
      <c r="A740" s="94" t="s">
        <v>930</v>
      </c>
      <c r="B740" s="95" t="s">
        <v>251</v>
      </c>
      <c r="C740" s="94" t="s">
        <v>930</v>
      </c>
      <c r="D740" s="94" t="s">
        <v>256</v>
      </c>
      <c r="E740" s="96">
        <v>35699</v>
      </c>
      <c r="F740" s="97">
        <f ca="1">DATEDIF(E740,TODAY(),"Y")</f>
        <v>19</v>
      </c>
      <c r="G740" s="98" t="s">
        <v>283</v>
      </c>
      <c r="H740" s="99">
        <v>78710</v>
      </c>
      <c r="I740" s="100">
        <v>2</v>
      </c>
    </row>
    <row r="741" spans="1:9" ht="13.5" x14ac:dyDescent="0.25">
      <c r="A741" s="94" t="s">
        <v>930</v>
      </c>
      <c r="B741" s="95" t="s">
        <v>266</v>
      </c>
      <c r="C741" s="94" t="s">
        <v>930</v>
      </c>
      <c r="D741" s="94" t="s">
        <v>247</v>
      </c>
      <c r="E741" s="96">
        <v>35755</v>
      </c>
      <c r="F741" s="97">
        <f ca="1">DATEDIF(E741,TODAY(),"Y")</f>
        <v>18</v>
      </c>
      <c r="G741" s="98"/>
      <c r="H741" s="99">
        <v>77136</v>
      </c>
      <c r="I741" s="100">
        <v>5</v>
      </c>
    </row>
    <row r="742" spans="1:9" ht="13.5" x14ac:dyDescent="0.25">
      <c r="A742" s="94" t="s">
        <v>930</v>
      </c>
      <c r="B742" s="95" t="s">
        <v>271</v>
      </c>
      <c r="C742" s="94" t="s">
        <v>930</v>
      </c>
      <c r="D742" s="94" t="s">
        <v>247</v>
      </c>
      <c r="E742" s="96">
        <v>35789</v>
      </c>
      <c r="F742" s="97">
        <f ca="1">DATEDIF(E742,TODAY(),"Y")</f>
        <v>18</v>
      </c>
      <c r="G742" s="98"/>
      <c r="H742" s="99">
        <v>28270</v>
      </c>
      <c r="I742" s="100">
        <v>5</v>
      </c>
    </row>
    <row r="743" spans="1:9" ht="13.5" x14ac:dyDescent="0.25">
      <c r="A743" s="94" t="s">
        <v>930</v>
      </c>
      <c r="B743" s="95" t="s">
        <v>266</v>
      </c>
      <c r="C743" s="94" t="s">
        <v>930</v>
      </c>
      <c r="D743" s="94" t="s">
        <v>247</v>
      </c>
      <c r="E743" s="96">
        <v>35831</v>
      </c>
      <c r="F743" s="97">
        <f ca="1">DATEDIF(E743,TODAY(),"Y")</f>
        <v>18</v>
      </c>
      <c r="G743" s="98"/>
      <c r="H743" s="99">
        <v>25530</v>
      </c>
      <c r="I743" s="100">
        <v>3</v>
      </c>
    </row>
    <row r="744" spans="1:9" ht="13.5" x14ac:dyDescent="0.25">
      <c r="A744" s="94" t="s">
        <v>930</v>
      </c>
      <c r="B744" s="95" t="s">
        <v>266</v>
      </c>
      <c r="C744" s="94" t="s">
        <v>930</v>
      </c>
      <c r="D744" s="94" t="s">
        <v>247</v>
      </c>
      <c r="E744" s="96">
        <v>36143</v>
      </c>
      <c r="F744" s="97">
        <f ca="1">DATEDIF(E744,TODAY(),"Y")</f>
        <v>17</v>
      </c>
      <c r="G744" s="98"/>
      <c r="H744" s="99">
        <v>49090</v>
      </c>
      <c r="I744" s="100">
        <v>4</v>
      </c>
    </row>
    <row r="745" spans="1:9" ht="13.5" x14ac:dyDescent="0.25">
      <c r="A745" s="94" t="s">
        <v>930</v>
      </c>
      <c r="B745" s="95" t="s">
        <v>251</v>
      </c>
      <c r="C745" s="94" t="s">
        <v>930</v>
      </c>
      <c r="D745" s="94" t="s">
        <v>256</v>
      </c>
      <c r="E745" s="96">
        <v>36185</v>
      </c>
      <c r="F745" s="97">
        <f ca="1">DATEDIF(E745,TODAY(),"Y")</f>
        <v>17</v>
      </c>
      <c r="G745" s="98" t="s">
        <v>276</v>
      </c>
      <c r="H745" s="99">
        <v>60300</v>
      </c>
      <c r="I745" s="100">
        <v>2</v>
      </c>
    </row>
    <row r="746" spans="1:9" ht="13.5" x14ac:dyDescent="0.25">
      <c r="A746" s="94" t="s">
        <v>930</v>
      </c>
      <c r="B746" s="95" t="s">
        <v>285</v>
      </c>
      <c r="C746" s="94" t="s">
        <v>930</v>
      </c>
      <c r="D746" s="94" t="s">
        <v>256</v>
      </c>
      <c r="E746" s="96">
        <v>36500</v>
      </c>
      <c r="F746" s="97">
        <f ca="1">DATEDIF(E746,TODAY(),"Y")</f>
        <v>16</v>
      </c>
      <c r="G746" s="98" t="s">
        <v>283</v>
      </c>
      <c r="H746" s="99">
        <v>48010</v>
      </c>
      <c r="I746" s="100">
        <v>3</v>
      </c>
    </row>
    <row r="747" spans="1:9" ht="13.5" x14ac:dyDescent="0.25">
      <c r="A747" s="94" t="s">
        <v>930</v>
      </c>
      <c r="B747" s="95" t="s">
        <v>285</v>
      </c>
      <c r="C747" s="94" t="s">
        <v>930</v>
      </c>
      <c r="D747" s="94" t="s">
        <v>256</v>
      </c>
      <c r="E747" s="96">
        <v>37018</v>
      </c>
      <c r="F747" s="97">
        <f ca="1">DATEDIF(E747,TODAY(),"Y")</f>
        <v>15</v>
      </c>
      <c r="G747" s="98" t="s">
        <v>262</v>
      </c>
      <c r="H747" s="99">
        <v>48280</v>
      </c>
      <c r="I747" s="100">
        <v>4</v>
      </c>
    </row>
    <row r="748" spans="1:9" ht="13.5" x14ac:dyDescent="0.25">
      <c r="A748" s="94" t="s">
        <v>930</v>
      </c>
      <c r="B748" s="95" t="s">
        <v>245</v>
      </c>
      <c r="C748" s="94" t="s">
        <v>930</v>
      </c>
      <c r="D748" s="94" t="s">
        <v>256</v>
      </c>
      <c r="E748" s="96">
        <v>37037</v>
      </c>
      <c r="F748" s="97">
        <f ca="1">DATEDIF(E748,TODAY(),"Y")</f>
        <v>15</v>
      </c>
      <c r="G748" s="98" t="s">
        <v>283</v>
      </c>
      <c r="H748" s="99">
        <v>81340</v>
      </c>
      <c r="I748" s="100">
        <v>2</v>
      </c>
    </row>
    <row r="749" spans="1:9" ht="13.5" x14ac:dyDescent="0.25">
      <c r="A749" s="94" t="s">
        <v>930</v>
      </c>
      <c r="B749" s="95" t="s">
        <v>280</v>
      </c>
      <c r="C749" s="94" t="s">
        <v>930</v>
      </c>
      <c r="D749" s="94" t="s">
        <v>247</v>
      </c>
      <c r="E749" s="96">
        <v>37128</v>
      </c>
      <c r="F749" s="97">
        <f ca="1">DATEDIF(E749,TODAY(),"Y")</f>
        <v>15</v>
      </c>
      <c r="G749" s="98"/>
      <c r="H749" s="99">
        <v>32880</v>
      </c>
      <c r="I749" s="100">
        <v>3</v>
      </c>
    </row>
    <row r="750" spans="1:9" ht="13.5" x14ac:dyDescent="0.25">
      <c r="A750" s="94" t="s">
        <v>930</v>
      </c>
      <c r="B750" s="95" t="s">
        <v>251</v>
      </c>
      <c r="C750" s="94" t="s">
        <v>930</v>
      </c>
      <c r="D750" s="94" t="s">
        <v>256</v>
      </c>
      <c r="E750" s="96">
        <v>37316</v>
      </c>
      <c r="F750" s="97">
        <f ca="1">DATEDIF(E750,TODAY(),"Y")</f>
        <v>14</v>
      </c>
      <c r="G750" s="98" t="s">
        <v>257</v>
      </c>
      <c r="H750" s="99">
        <v>44530</v>
      </c>
      <c r="I750" s="100">
        <v>2</v>
      </c>
    </row>
    <row r="751" spans="1:9" ht="13.5" x14ac:dyDescent="0.25">
      <c r="A751" s="94" t="s">
        <v>930</v>
      </c>
      <c r="B751" s="95" t="s">
        <v>245</v>
      </c>
      <c r="C751" s="94" t="s">
        <v>930</v>
      </c>
      <c r="D751" s="94" t="s">
        <v>252</v>
      </c>
      <c r="E751" s="96">
        <v>37336</v>
      </c>
      <c r="F751" s="97">
        <f ca="1">DATEDIF(E751,TODAY(),"Y")</f>
        <v>14</v>
      </c>
      <c r="G751" s="98"/>
      <c r="H751" s="99">
        <v>37344</v>
      </c>
      <c r="I751" s="100">
        <v>2</v>
      </c>
    </row>
    <row r="752" spans="1:9" ht="13.5" x14ac:dyDescent="0.25">
      <c r="A752" s="94" t="s">
        <v>930</v>
      </c>
      <c r="B752" s="95" t="s">
        <v>280</v>
      </c>
      <c r="C752" s="94" t="s">
        <v>930</v>
      </c>
      <c r="D752" s="94" t="s">
        <v>256</v>
      </c>
      <c r="E752" s="96">
        <v>37861</v>
      </c>
      <c r="F752" s="97">
        <f ca="1">DATEDIF(E752,TODAY(),"Y")</f>
        <v>13</v>
      </c>
      <c r="G752" s="98" t="s">
        <v>267</v>
      </c>
      <c r="H752" s="99">
        <v>25690</v>
      </c>
      <c r="I752" s="100">
        <v>2</v>
      </c>
    </row>
    <row r="753" spans="1:9" ht="13.5" x14ac:dyDescent="0.25">
      <c r="A753" s="94" t="s">
        <v>930</v>
      </c>
      <c r="B753" s="95" t="s">
        <v>285</v>
      </c>
      <c r="C753" s="94" t="s">
        <v>930</v>
      </c>
      <c r="D753" s="94" t="s">
        <v>256</v>
      </c>
      <c r="E753" s="96">
        <v>37973</v>
      </c>
      <c r="F753" s="97">
        <f ca="1">DATEDIF(E753,TODAY(),"Y")</f>
        <v>12</v>
      </c>
      <c r="G753" s="98" t="s">
        <v>257</v>
      </c>
      <c r="H753" s="99">
        <v>24980</v>
      </c>
      <c r="I753" s="100">
        <v>3</v>
      </c>
    </row>
    <row r="754" spans="1:9" ht="13.5" x14ac:dyDescent="0.25">
      <c r="A754" s="94" t="s">
        <v>930</v>
      </c>
      <c r="B754" s="95" t="s">
        <v>280</v>
      </c>
      <c r="C754" s="94" t="s">
        <v>930</v>
      </c>
      <c r="D754" s="94" t="s">
        <v>256</v>
      </c>
      <c r="E754" s="96">
        <v>38131</v>
      </c>
      <c r="F754" s="97">
        <f ca="1">DATEDIF(E754,TODAY(),"Y")</f>
        <v>12</v>
      </c>
      <c r="G754" s="98" t="s">
        <v>262</v>
      </c>
      <c r="H754" s="99">
        <v>68860</v>
      </c>
      <c r="I754" s="100">
        <v>2</v>
      </c>
    </row>
    <row r="755" spans="1:9" ht="13.5" x14ac:dyDescent="0.25">
      <c r="A755" s="94" t="s">
        <v>930</v>
      </c>
      <c r="B755" s="95" t="s">
        <v>280</v>
      </c>
      <c r="C755" s="94" t="s">
        <v>930</v>
      </c>
      <c r="D755" s="94" t="s">
        <v>261</v>
      </c>
      <c r="E755" s="96">
        <v>38225</v>
      </c>
      <c r="F755" s="97">
        <f ca="1">DATEDIF(E755,TODAY(),"Y")</f>
        <v>12</v>
      </c>
      <c r="G755" s="98" t="s">
        <v>276</v>
      </c>
      <c r="H755" s="99">
        <v>49080</v>
      </c>
      <c r="I755" s="100">
        <v>5</v>
      </c>
    </row>
    <row r="756" spans="1:9" ht="13.5" x14ac:dyDescent="0.25">
      <c r="A756" s="94" t="s">
        <v>930</v>
      </c>
      <c r="B756" s="95" t="s">
        <v>245</v>
      </c>
      <c r="C756" s="94" t="s">
        <v>930</v>
      </c>
      <c r="D756" s="94" t="s">
        <v>256</v>
      </c>
      <c r="E756" s="96">
        <v>38292</v>
      </c>
      <c r="F756" s="97">
        <f ca="1">DATEDIF(E756,TODAY(),"Y")</f>
        <v>12</v>
      </c>
      <c r="G756" s="98" t="s">
        <v>257</v>
      </c>
      <c r="H756" s="99">
        <v>79380</v>
      </c>
      <c r="I756" s="100">
        <v>5</v>
      </c>
    </row>
    <row r="757" spans="1:9" ht="13.5" x14ac:dyDescent="0.25">
      <c r="A757" s="94" t="s">
        <v>930</v>
      </c>
      <c r="B757" s="95" t="s">
        <v>280</v>
      </c>
      <c r="C757" s="94" t="s">
        <v>930</v>
      </c>
      <c r="D757" s="94" t="s">
        <v>256</v>
      </c>
      <c r="E757" s="96">
        <v>38369</v>
      </c>
      <c r="F757" s="97">
        <f ca="1">DATEDIF(E757,TODAY(),"Y")</f>
        <v>11</v>
      </c>
      <c r="G757" s="98" t="s">
        <v>257</v>
      </c>
      <c r="H757" s="99">
        <v>22820</v>
      </c>
      <c r="I757" s="100">
        <v>5</v>
      </c>
    </row>
    <row r="758" spans="1:9" ht="13.5" x14ac:dyDescent="0.25">
      <c r="A758" s="94" t="s">
        <v>930</v>
      </c>
      <c r="B758" s="95" t="s">
        <v>245</v>
      </c>
      <c r="C758" s="94" t="s">
        <v>930</v>
      </c>
      <c r="D758" s="94" t="s">
        <v>247</v>
      </c>
      <c r="E758" s="96">
        <v>38418</v>
      </c>
      <c r="F758" s="97">
        <f ca="1">DATEDIF(E758,TODAY(),"Y")</f>
        <v>11</v>
      </c>
      <c r="G758" s="98"/>
      <c r="H758" s="99">
        <v>86040</v>
      </c>
      <c r="I758" s="100">
        <v>5</v>
      </c>
    </row>
    <row r="759" spans="1:9" ht="13.5" x14ac:dyDescent="0.25">
      <c r="A759" s="94" t="s">
        <v>930</v>
      </c>
      <c r="B759" s="95" t="s">
        <v>285</v>
      </c>
      <c r="C759" s="94" t="s">
        <v>930</v>
      </c>
      <c r="D759" s="94" t="s">
        <v>256</v>
      </c>
      <c r="E759" s="96">
        <v>38418</v>
      </c>
      <c r="F759" s="97">
        <f ca="1">DATEDIF(E759,TODAY(),"Y")</f>
        <v>11</v>
      </c>
      <c r="G759" s="98" t="s">
        <v>257</v>
      </c>
      <c r="H759" s="99">
        <v>82370</v>
      </c>
      <c r="I759" s="100">
        <v>5</v>
      </c>
    </row>
    <row r="760" spans="1:9" ht="13.5" x14ac:dyDescent="0.25">
      <c r="A760" s="94" t="s">
        <v>930</v>
      </c>
      <c r="B760" s="95" t="s">
        <v>271</v>
      </c>
      <c r="C760" s="94" t="s">
        <v>930</v>
      </c>
      <c r="D760" s="94" t="s">
        <v>256</v>
      </c>
      <c r="E760" s="96">
        <v>38708</v>
      </c>
      <c r="F760" s="97">
        <f ca="1">DATEDIF(E760,TODAY(),"Y")</f>
        <v>10</v>
      </c>
      <c r="G760" s="98" t="s">
        <v>283</v>
      </c>
      <c r="H760" s="99">
        <v>34990</v>
      </c>
      <c r="I760" s="100">
        <v>3</v>
      </c>
    </row>
    <row r="761" spans="1:9" ht="13.5" x14ac:dyDescent="0.25">
      <c r="A761" s="94" t="s">
        <v>930</v>
      </c>
      <c r="B761" s="95" t="s">
        <v>285</v>
      </c>
      <c r="C761" s="94" t="s">
        <v>930</v>
      </c>
      <c r="D761" s="94" t="s">
        <v>247</v>
      </c>
      <c r="E761" s="96">
        <v>38925</v>
      </c>
      <c r="F761" s="97">
        <f ca="1">DATEDIF(E761,TODAY(),"Y")</f>
        <v>10</v>
      </c>
      <c r="G761" s="98"/>
      <c r="H761" s="99">
        <v>80729</v>
      </c>
      <c r="I761" s="100">
        <v>3</v>
      </c>
    </row>
    <row r="762" spans="1:9" ht="13.5" x14ac:dyDescent="0.25">
      <c r="A762" s="94" t="s">
        <v>930</v>
      </c>
      <c r="B762" s="95" t="s">
        <v>266</v>
      </c>
      <c r="C762" s="94" t="s">
        <v>930</v>
      </c>
      <c r="D762" s="94" t="s">
        <v>247</v>
      </c>
      <c r="E762" s="102">
        <v>39024</v>
      </c>
      <c r="F762" s="97">
        <f ca="1">DATEDIF(E762,TODAY(),"Y")</f>
        <v>10</v>
      </c>
      <c r="G762" s="98"/>
      <c r="H762" s="99">
        <v>47280</v>
      </c>
      <c r="I762" s="100">
        <v>1</v>
      </c>
    </row>
    <row r="763" spans="1:9" ht="13.5" x14ac:dyDescent="0.25">
      <c r="A763" s="94" t="s">
        <v>930</v>
      </c>
      <c r="B763" s="95" t="s">
        <v>285</v>
      </c>
      <c r="C763" s="94" t="s">
        <v>930</v>
      </c>
      <c r="D763" s="94" t="s">
        <v>247</v>
      </c>
      <c r="E763" s="96">
        <v>39213</v>
      </c>
      <c r="F763" s="97">
        <f ca="1">DATEDIF(E763,TODAY(),"Y")</f>
        <v>9</v>
      </c>
      <c r="G763" s="98"/>
      <c r="H763" s="99">
        <v>46570</v>
      </c>
      <c r="I763" s="100">
        <v>4</v>
      </c>
    </row>
    <row r="764" spans="1:9" ht="13.5" x14ac:dyDescent="0.25">
      <c r="A764" s="94" t="s">
        <v>930</v>
      </c>
      <c r="B764" s="95" t="s">
        <v>266</v>
      </c>
      <c r="C764" s="94" t="s">
        <v>930</v>
      </c>
      <c r="D764" s="94" t="s">
        <v>256</v>
      </c>
      <c r="E764" s="102">
        <v>39226</v>
      </c>
      <c r="F764" s="97">
        <f ca="1">DATEDIF(E764,TODAY(),"Y")</f>
        <v>9</v>
      </c>
      <c r="G764" s="98" t="s">
        <v>283</v>
      </c>
      <c r="H764" s="99">
        <v>70730</v>
      </c>
      <c r="I764" s="100">
        <v>1</v>
      </c>
    </row>
    <row r="765" spans="1:9" ht="13.5" x14ac:dyDescent="0.25">
      <c r="A765" s="94" t="s">
        <v>930</v>
      </c>
      <c r="B765" s="95" t="s">
        <v>285</v>
      </c>
      <c r="C765" s="94" t="s">
        <v>930</v>
      </c>
      <c r="D765" s="94" t="s">
        <v>247</v>
      </c>
      <c r="E765" s="102">
        <v>39253</v>
      </c>
      <c r="F765" s="97">
        <f ca="1">DATEDIF(E765,TODAY(),"Y")</f>
        <v>9</v>
      </c>
      <c r="G765" s="98"/>
      <c r="H765" s="99">
        <v>55510</v>
      </c>
      <c r="I765" s="100">
        <v>3</v>
      </c>
    </row>
    <row r="766" spans="1:9" ht="13.5" x14ac:dyDescent="0.25">
      <c r="A766" s="94" t="s">
        <v>930</v>
      </c>
      <c r="B766" s="95" t="s">
        <v>285</v>
      </c>
      <c r="C766" s="94" t="s">
        <v>930</v>
      </c>
      <c r="D766" s="94" t="s">
        <v>256</v>
      </c>
      <c r="E766" s="96">
        <v>39258</v>
      </c>
      <c r="F766" s="97">
        <f ca="1">DATEDIF(E766,TODAY(),"Y")</f>
        <v>9</v>
      </c>
      <c r="G766" s="98" t="s">
        <v>257</v>
      </c>
      <c r="H766" s="99">
        <v>46390</v>
      </c>
      <c r="I766" s="100">
        <v>5</v>
      </c>
    </row>
    <row r="767" spans="1:9" ht="13.5" x14ac:dyDescent="0.25">
      <c r="A767" s="94" t="s">
        <v>930</v>
      </c>
      <c r="B767" s="95" t="s">
        <v>271</v>
      </c>
      <c r="C767" s="94" t="s">
        <v>930</v>
      </c>
      <c r="D767" s="94" t="s">
        <v>256</v>
      </c>
      <c r="E767" s="96">
        <v>39327</v>
      </c>
      <c r="F767" s="97">
        <f ca="1">DATEDIF(E767,TODAY(),"Y")</f>
        <v>9</v>
      </c>
      <c r="G767" s="98" t="s">
        <v>257</v>
      </c>
      <c r="H767" s="99">
        <v>86640</v>
      </c>
      <c r="I767" s="100">
        <v>3</v>
      </c>
    </row>
    <row r="768" spans="1:9" ht="13.5" x14ac:dyDescent="0.25">
      <c r="A768" s="94" t="s">
        <v>930</v>
      </c>
      <c r="B768" s="95" t="s">
        <v>251</v>
      </c>
      <c r="C768" s="94" t="s">
        <v>930</v>
      </c>
      <c r="D768" s="94" t="s">
        <v>247</v>
      </c>
      <c r="E768" s="102">
        <v>39328</v>
      </c>
      <c r="F768" s="97">
        <f ca="1">DATEDIF(E768,TODAY(),"Y")</f>
        <v>9</v>
      </c>
      <c r="G768" s="98"/>
      <c r="H768" s="99">
        <v>42990</v>
      </c>
      <c r="I768" s="100">
        <v>4</v>
      </c>
    </row>
    <row r="769" spans="1:9" ht="13.5" x14ac:dyDescent="0.25">
      <c r="A769" s="94" t="s">
        <v>930</v>
      </c>
      <c r="B769" s="95" t="s">
        <v>251</v>
      </c>
      <c r="C769" s="94" t="s">
        <v>930</v>
      </c>
      <c r="D769" s="94" t="s">
        <v>247</v>
      </c>
      <c r="E769" s="102">
        <v>39328</v>
      </c>
      <c r="F769" s="97">
        <f ca="1">DATEDIF(E769,TODAY(),"Y")</f>
        <v>9</v>
      </c>
      <c r="G769" s="98"/>
      <c r="H769" s="99">
        <v>42990</v>
      </c>
      <c r="I769" s="100">
        <v>4</v>
      </c>
    </row>
    <row r="770" spans="1:9" ht="13.5" x14ac:dyDescent="0.25">
      <c r="A770" s="94" t="s">
        <v>930</v>
      </c>
      <c r="B770" s="95" t="s">
        <v>271</v>
      </c>
      <c r="C770" s="94" t="s">
        <v>930</v>
      </c>
      <c r="D770" s="94" t="s">
        <v>256</v>
      </c>
      <c r="E770" s="102">
        <v>39370</v>
      </c>
      <c r="F770" s="97">
        <f ca="1">DATEDIF(E770,TODAY(),"Y")</f>
        <v>9</v>
      </c>
      <c r="G770" s="98" t="s">
        <v>257</v>
      </c>
      <c r="H770" s="99">
        <v>23030</v>
      </c>
      <c r="I770" s="100">
        <v>4</v>
      </c>
    </row>
    <row r="771" spans="1:9" ht="13.5" x14ac:dyDescent="0.25">
      <c r="A771" s="94" t="s">
        <v>930</v>
      </c>
      <c r="B771" s="95" t="s">
        <v>271</v>
      </c>
      <c r="C771" s="94" t="s">
        <v>930</v>
      </c>
      <c r="D771" s="94" t="s">
        <v>256</v>
      </c>
      <c r="E771" s="102">
        <v>39370</v>
      </c>
      <c r="F771" s="97">
        <f ca="1">DATEDIF(E771,TODAY(),"Y")</f>
        <v>9</v>
      </c>
      <c r="G771" s="98" t="s">
        <v>276</v>
      </c>
      <c r="H771" s="99">
        <v>40260</v>
      </c>
      <c r="I771" s="100">
        <v>5</v>
      </c>
    </row>
    <row r="772" spans="1:9" ht="13.5" x14ac:dyDescent="0.25">
      <c r="A772" s="101"/>
      <c r="B772" s="95"/>
      <c r="C772" s="101"/>
      <c r="D772" s="94"/>
      <c r="E772" s="102"/>
      <c r="F772" s="97"/>
      <c r="G772" s="98"/>
      <c r="H772" s="99"/>
      <c r="I772" s="100"/>
    </row>
    <row r="773" spans="1:9" ht="13.5" x14ac:dyDescent="0.25">
      <c r="A773" s="94" t="s">
        <v>1025</v>
      </c>
      <c r="B773" s="95" t="s">
        <v>245</v>
      </c>
      <c r="C773" s="94" t="s">
        <v>1025</v>
      </c>
      <c r="D773" s="94" t="s">
        <v>247</v>
      </c>
      <c r="E773" s="96">
        <v>32077</v>
      </c>
      <c r="F773" s="97">
        <f ca="1">DATEDIF(E773,TODAY(),"Y")</f>
        <v>29</v>
      </c>
      <c r="G773" s="98"/>
      <c r="H773" s="99">
        <v>85510</v>
      </c>
      <c r="I773" s="100">
        <v>4</v>
      </c>
    </row>
    <row r="774" spans="1:9" ht="13.5" x14ac:dyDescent="0.25">
      <c r="A774" s="94" t="s">
        <v>1025</v>
      </c>
      <c r="B774" s="95" t="s">
        <v>271</v>
      </c>
      <c r="C774" s="94" t="s">
        <v>1025</v>
      </c>
      <c r="D774" s="94" t="s">
        <v>256</v>
      </c>
      <c r="E774" s="96">
        <v>35681</v>
      </c>
      <c r="F774" s="97">
        <f ca="1">DATEDIF(E774,TODAY(),"Y")</f>
        <v>19</v>
      </c>
      <c r="G774" s="98" t="s">
        <v>257</v>
      </c>
      <c r="H774" s="99">
        <v>63670</v>
      </c>
      <c r="I774" s="100">
        <v>5</v>
      </c>
    </row>
    <row r="775" spans="1:9" ht="13.5" x14ac:dyDescent="0.25">
      <c r="A775" s="94" t="s">
        <v>1025</v>
      </c>
      <c r="B775" s="95" t="s">
        <v>245</v>
      </c>
      <c r="C775" s="94" t="s">
        <v>1025</v>
      </c>
      <c r="D775" s="94" t="s">
        <v>256</v>
      </c>
      <c r="E775" s="96">
        <v>35763</v>
      </c>
      <c r="F775" s="97">
        <f ca="1">DATEDIF(E775,TODAY(),"Y")</f>
        <v>18</v>
      </c>
      <c r="G775" s="98" t="s">
        <v>276</v>
      </c>
      <c r="H775" s="99">
        <v>40680</v>
      </c>
      <c r="I775" s="100">
        <v>5</v>
      </c>
    </row>
    <row r="776" spans="1:9" ht="13.5" x14ac:dyDescent="0.25">
      <c r="A776" s="94" t="s">
        <v>1025</v>
      </c>
      <c r="B776" s="95" t="s">
        <v>266</v>
      </c>
      <c r="C776" s="94" t="s">
        <v>1025</v>
      </c>
      <c r="D776" s="94" t="s">
        <v>256</v>
      </c>
      <c r="E776" s="96">
        <v>36374</v>
      </c>
      <c r="F776" s="97">
        <f ca="1">DATEDIF(E776,TODAY(),"Y")</f>
        <v>17</v>
      </c>
      <c r="G776" s="98" t="s">
        <v>283</v>
      </c>
      <c r="H776" s="99">
        <v>42800</v>
      </c>
      <c r="I776" s="100">
        <v>5</v>
      </c>
    </row>
    <row r="777" spans="1:9" ht="13.5" x14ac:dyDescent="0.25">
      <c r="A777" s="94" t="s">
        <v>1025</v>
      </c>
      <c r="B777" s="95" t="s">
        <v>271</v>
      </c>
      <c r="C777" s="94" t="s">
        <v>1025</v>
      </c>
      <c r="D777" s="94" t="s">
        <v>247</v>
      </c>
      <c r="E777" s="96">
        <v>39409</v>
      </c>
      <c r="F777" s="97">
        <f ca="1">DATEDIF(E777,TODAY(),"Y")</f>
        <v>8</v>
      </c>
      <c r="G777" s="98"/>
      <c r="H777" s="99">
        <v>66132</v>
      </c>
      <c r="I777" s="100">
        <v>4</v>
      </c>
    </row>
    <row r="778" spans="1:9" ht="13.5" x14ac:dyDescent="0.25">
      <c r="A778" s="101"/>
      <c r="B778" s="95"/>
      <c r="C778" s="101"/>
      <c r="D778" s="94"/>
      <c r="E778" s="96"/>
      <c r="F778" s="97"/>
      <c r="G778" s="98"/>
      <c r="H778" s="99"/>
      <c r="I778" s="100"/>
    </row>
    <row r="779" spans="1:9" ht="13.5" x14ac:dyDescent="0.25">
      <c r="A779" s="94" t="s">
        <v>1031</v>
      </c>
      <c r="B779" s="95" t="s">
        <v>285</v>
      </c>
      <c r="C779" s="94" t="s">
        <v>1031</v>
      </c>
      <c r="D779" s="94" t="s">
        <v>247</v>
      </c>
      <c r="E779" s="96">
        <v>32693</v>
      </c>
      <c r="F779" s="97">
        <f ca="1">DATEDIF(E779,TODAY(),"Y")</f>
        <v>27</v>
      </c>
      <c r="G779" s="98"/>
      <c r="H779" s="99">
        <v>60760</v>
      </c>
      <c r="I779" s="100">
        <v>2</v>
      </c>
    </row>
    <row r="780" spans="1:9" ht="13.5" x14ac:dyDescent="0.25">
      <c r="A780" s="94" t="s">
        <v>1031</v>
      </c>
      <c r="B780" s="95" t="s">
        <v>285</v>
      </c>
      <c r="C780" s="94" t="s">
        <v>1031</v>
      </c>
      <c r="D780" s="94" t="s">
        <v>247</v>
      </c>
      <c r="E780" s="96">
        <v>33215</v>
      </c>
      <c r="F780" s="97">
        <f ca="1">DATEDIF(E780,TODAY(),"Y")</f>
        <v>25</v>
      </c>
      <c r="G780" s="98"/>
      <c r="H780" s="99">
        <v>64720</v>
      </c>
      <c r="I780" s="100">
        <v>5</v>
      </c>
    </row>
    <row r="781" spans="1:9" ht="13.5" x14ac:dyDescent="0.25">
      <c r="A781" s="94" t="s">
        <v>1031</v>
      </c>
      <c r="B781" s="95" t="s">
        <v>285</v>
      </c>
      <c r="C781" s="94" t="s">
        <v>1031</v>
      </c>
      <c r="D781" s="94" t="s">
        <v>247</v>
      </c>
      <c r="E781" s="96">
        <v>33215</v>
      </c>
      <c r="F781" s="97">
        <f ca="1">DATEDIF(E781,TODAY(),"Y")</f>
        <v>25</v>
      </c>
      <c r="G781" s="98"/>
      <c r="H781" s="99">
        <v>64720</v>
      </c>
      <c r="I781" s="100">
        <v>5</v>
      </c>
    </row>
    <row r="782" spans="1:9" ht="13.5" x14ac:dyDescent="0.25">
      <c r="A782" s="94" t="s">
        <v>1031</v>
      </c>
      <c r="B782" s="95" t="s">
        <v>266</v>
      </c>
      <c r="C782" s="94" t="s">
        <v>1031</v>
      </c>
      <c r="D782" s="94" t="s">
        <v>261</v>
      </c>
      <c r="E782" s="96">
        <v>35247</v>
      </c>
      <c r="F782" s="97">
        <f ca="1">DATEDIF(E782,TODAY(),"Y")</f>
        <v>20</v>
      </c>
      <c r="G782" s="98" t="s">
        <v>257</v>
      </c>
      <c r="H782" s="99">
        <v>31250</v>
      </c>
      <c r="I782" s="100">
        <v>2</v>
      </c>
    </row>
    <row r="783" spans="1:9" ht="13.5" x14ac:dyDescent="0.25">
      <c r="A783" s="94" t="s">
        <v>1031</v>
      </c>
      <c r="B783" s="95" t="s">
        <v>251</v>
      </c>
      <c r="C783" s="94" t="s">
        <v>1031</v>
      </c>
      <c r="D783" s="94" t="s">
        <v>256</v>
      </c>
      <c r="E783" s="96">
        <v>39074</v>
      </c>
      <c r="F783" s="97">
        <f ca="1">DATEDIF(E783,TODAY(),"Y")</f>
        <v>9</v>
      </c>
      <c r="G783" s="98" t="s">
        <v>257</v>
      </c>
      <c r="H783" s="99">
        <v>46680</v>
      </c>
      <c r="I783" s="100">
        <v>1</v>
      </c>
    </row>
    <row r="784" spans="1:9" ht="13.5" x14ac:dyDescent="0.25">
      <c r="A784" s="94" t="s">
        <v>1031</v>
      </c>
      <c r="B784" s="95" t="s">
        <v>266</v>
      </c>
      <c r="C784" s="94" t="s">
        <v>1031</v>
      </c>
      <c r="D784" s="94" t="s">
        <v>252</v>
      </c>
      <c r="E784" s="96">
        <v>39233</v>
      </c>
      <c r="F784" s="97">
        <f ca="1">DATEDIF(E784,TODAY(),"Y")</f>
        <v>9</v>
      </c>
      <c r="G784" s="98"/>
      <c r="H784" s="99">
        <v>19044</v>
      </c>
      <c r="I784" s="100">
        <v>1</v>
      </c>
    </row>
    <row r="785" spans="1:9" ht="13.5" x14ac:dyDescent="0.25">
      <c r="A785" s="101"/>
      <c r="B785" s="95"/>
      <c r="C785" s="101"/>
      <c r="D785" s="94"/>
      <c r="E785" s="96"/>
      <c r="F785" s="97"/>
      <c r="G785" s="98"/>
      <c r="H785" s="99"/>
      <c r="I785" s="10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autoPageBreaks="0"/>
  </sheetPr>
  <dimension ref="A1:AF749"/>
  <sheetViews>
    <sheetView topLeftCell="A730" zoomScale="115" zoomScaleNormal="115" zoomScaleSheetLayoutView="100" workbookViewId="0">
      <selection activeCell="B35" sqref="B35"/>
    </sheetView>
  </sheetViews>
  <sheetFormatPr defaultColWidth="19.85546875" defaultRowHeight="15" x14ac:dyDescent="0.25"/>
  <cols>
    <col min="1" max="1" width="19.28515625" style="42" bestFit="1" customWidth="1"/>
    <col min="2" max="2" width="8.28515625" style="57" bestFit="1" customWidth="1"/>
    <col min="3" max="3" width="26.85546875" style="42" bestFit="1" customWidth="1"/>
    <col min="4" max="4" width="12.42578125" style="82" bestFit="1" customWidth="1"/>
    <col min="5" max="5" width="9.7109375" style="42" bestFit="1" customWidth="1"/>
    <col min="6" max="6" width="10.7109375" style="84" bestFit="1" customWidth="1"/>
    <col min="7" max="7" width="10.7109375" style="84" customWidth="1"/>
    <col min="8" max="8" width="5.85546875" style="86" bestFit="1" customWidth="1"/>
    <col min="9" max="9" width="8.42578125" style="42" bestFit="1" customWidth="1"/>
    <col min="10" max="10" width="9.42578125" style="73" customWidth="1"/>
    <col min="11" max="11" width="10" style="42" bestFit="1" customWidth="1"/>
    <col min="12" max="12" width="12.28515625" style="87" bestFit="1" customWidth="1"/>
    <col min="13" max="13" width="8.42578125" style="59" bestFit="1" customWidth="1"/>
    <col min="14" max="14" width="7.5703125" style="42" customWidth="1"/>
    <col min="15" max="15" width="7.28515625" style="42" customWidth="1"/>
    <col min="16" max="16" width="9.85546875" style="42" customWidth="1"/>
    <col min="17" max="17" width="8.85546875" style="42" bestFit="1" customWidth="1"/>
    <col min="18" max="18" width="4.5703125" style="42" bestFit="1" customWidth="1"/>
    <col min="19" max="19" width="9.28515625" style="42" customWidth="1"/>
    <col min="20" max="20" width="5.5703125" style="42" bestFit="1" customWidth="1"/>
    <col min="21" max="25" width="4.42578125" style="42" bestFit="1" customWidth="1"/>
    <col min="26" max="26" width="5.42578125" style="42" customWidth="1"/>
    <col min="27" max="27" width="6" style="42" bestFit="1" customWidth="1"/>
    <col min="28" max="32" width="4.42578125" style="42" bestFit="1" customWidth="1"/>
    <col min="33" max="33" width="4.140625" style="42" bestFit="1" customWidth="1"/>
    <col min="34" max="16384" width="19.85546875" style="42"/>
  </cols>
  <sheetData>
    <row r="1" spans="1:32" x14ac:dyDescent="0.25">
      <c r="A1" s="29" t="s">
        <v>229</v>
      </c>
      <c r="B1" s="30" t="s">
        <v>230</v>
      </c>
      <c r="C1" s="31" t="s">
        <v>231</v>
      </c>
      <c r="D1" s="147" t="s">
        <v>232</v>
      </c>
      <c r="E1" s="31" t="s">
        <v>234</v>
      </c>
      <c r="F1" s="34" t="s">
        <v>235</v>
      </c>
      <c r="G1" s="34" t="s">
        <v>236</v>
      </c>
      <c r="H1" s="36" t="s">
        <v>237</v>
      </c>
      <c r="I1" s="31" t="s">
        <v>238</v>
      </c>
      <c r="J1" s="37" t="s">
        <v>239</v>
      </c>
      <c r="K1" s="30" t="s">
        <v>240</v>
      </c>
      <c r="L1" s="38" t="s">
        <v>241</v>
      </c>
      <c r="M1" s="39" t="s">
        <v>242</v>
      </c>
      <c r="N1" s="40">
        <v>2.9100000000000001E-2</v>
      </c>
      <c r="O1" s="40"/>
      <c r="P1" s="40"/>
      <c r="Q1" s="41" t="s">
        <v>243</v>
      </c>
      <c r="R1" s="41"/>
      <c r="T1" s="43"/>
      <c r="U1" s="44" t="s">
        <v>73</v>
      </c>
      <c r="V1" s="44" t="s">
        <v>107</v>
      </c>
      <c r="W1" s="44" t="s">
        <v>100</v>
      </c>
      <c r="X1" s="44" t="s">
        <v>65</v>
      </c>
      <c r="Y1" s="44" t="s">
        <v>83</v>
      </c>
      <c r="Z1" s="45"/>
      <c r="AA1" s="46"/>
      <c r="AB1" s="47" t="s">
        <v>73</v>
      </c>
      <c r="AC1" s="47" t="s">
        <v>107</v>
      </c>
      <c r="AD1" s="47" t="s">
        <v>100</v>
      </c>
      <c r="AE1" s="47" t="s">
        <v>65</v>
      </c>
      <c r="AF1" s="47" t="s">
        <v>83</v>
      </c>
    </row>
    <row r="2" spans="1:32" x14ac:dyDescent="0.25">
      <c r="A2" s="48" t="s">
        <v>255</v>
      </c>
      <c r="B2" s="49" t="s">
        <v>245</v>
      </c>
      <c r="C2" s="48" t="s">
        <v>246</v>
      </c>
      <c r="D2" s="145">
        <v>908683147</v>
      </c>
      <c r="E2" s="48" t="s">
        <v>256</v>
      </c>
      <c r="F2" s="108">
        <v>36171</v>
      </c>
      <c r="G2" s="108" t="str">
        <f>CHOOSE(MONTH(F2),"Jan","Feb","Mar","Apr","May","Jun","Jul","Aug","Sep","Oct","Nov","Dec")</f>
        <v>Jan</v>
      </c>
      <c r="H2" s="54">
        <f ca="1">DATEDIF(F2,TODAY(),"Y")</f>
        <v>17</v>
      </c>
      <c r="I2" s="55" t="s">
        <v>257</v>
      </c>
      <c r="J2" s="56">
        <v>24550</v>
      </c>
      <c r="K2" s="57">
        <v>1</v>
      </c>
      <c r="L2" s="146"/>
      <c r="M2" s="66"/>
      <c r="N2" s="59"/>
      <c r="Q2" s="60">
        <v>0</v>
      </c>
      <c r="R2" s="61">
        <v>0</v>
      </c>
      <c r="T2" s="43" t="s">
        <v>248</v>
      </c>
      <c r="U2" s="62">
        <v>33</v>
      </c>
      <c r="V2" s="62">
        <v>40</v>
      </c>
      <c r="W2" s="62">
        <v>37</v>
      </c>
      <c r="X2" s="62">
        <v>48</v>
      </c>
      <c r="Y2" s="62">
        <v>48</v>
      </c>
      <c r="Z2" s="62"/>
      <c r="AA2" s="63" t="s">
        <v>249</v>
      </c>
      <c r="AB2" s="62">
        <v>45</v>
      </c>
      <c r="AC2" s="62">
        <v>47</v>
      </c>
      <c r="AD2" s="62">
        <v>35</v>
      </c>
      <c r="AE2" s="62">
        <v>49</v>
      </c>
      <c r="AF2" s="62">
        <v>37</v>
      </c>
    </row>
    <row r="3" spans="1:32" x14ac:dyDescent="0.25">
      <c r="A3" s="48" t="s">
        <v>260</v>
      </c>
      <c r="B3" s="49" t="s">
        <v>245</v>
      </c>
      <c r="C3" s="48" t="s">
        <v>246</v>
      </c>
      <c r="D3" s="145">
        <v>950455747</v>
      </c>
      <c r="E3" s="48" t="s">
        <v>261</v>
      </c>
      <c r="F3" s="108">
        <v>33290</v>
      </c>
      <c r="G3" s="108" t="str">
        <f>CHOOSE(MONTH(F3),"Jan","Feb","Mar","Apr","May","Jun","Jul","Aug","Sep","Oct","Nov","Dec")</f>
        <v>Feb</v>
      </c>
      <c r="H3" s="54">
        <f ca="1">DATEDIF(F3,TODAY(),"Y")</f>
        <v>25</v>
      </c>
      <c r="I3" s="55" t="s">
        <v>262</v>
      </c>
      <c r="J3" s="56">
        <v>26795</v>
      </c>
      <c r="K3" s="57">
        <v>4</v>
      </c>
      <c r="M3" s="66"/>
      <c r="N3" s="59"/>
      <c r="Q3" s="64">
        <v>5000</v>
      </c>
      <c r="R3" s="65">
        <v>0.01</v>
      </c>
      <c r="T3" s="43" t="s">
        <v>253</v>
      </c>
      <c r="U3" s="62">
        <v>35</v>
      </c>
      <c r="V3" s="62">
        <v>38</v>
      </c>
      <c r="W3" s="62">
        <v>36</v>
      </c>
      <c r="X3" s="62">
        <v>48</v>
      </c>
      <c r="Y3" s="62">
        <v>41</v>
      </c>
      <c r="Z3" s="62"/>
      <c r="AA3" s="63" t="s">
        <v>254</v>
      </c>
      <c r="AB3" s="62">
        <v>39</v>
      </c>
      <c r="AC3" s="62">
        <v>35</v>
      </c>
      <c r="AD3" s="62">
        <v>45</v>
      </c>
      <c r="AE3" s="62">
        <v>34</v>
      </c>
      <c r="AF3" s="62">
        <v>37</v>
      </c>
    </row>
    <row r="4" spans="1:32" x14ac:dyDescent="0.25">
      <c r="A4" s="48" t="s">
        <v>244</v>
      </c>
      <c r="B4" s="49" t="s">
        <v>245</v>
      </c>
      <c r="C4" s="48" t="s">
        <v>246</v>
      </c>
      <c r="D4" s="145">
        <v>775555190</v>
      </c>
      <c r="E4" s="48" t="s">
        <v>247</v>
      </c>
      <c r="F4" s="108">
        <v>39147</v>
      </c>
      <c r="G4" s="108" t="str">
        <f>CHOOSE(MONTH(F4),"Jan","Feb","Mar","Apr","May","Jun","Jul","Aug","Sep","Oct","Nov","Dec")</f>
        <v>Mar</v>
      </c>
      <c r="H4" s="54">
        <f ca="1">DATEDIF(F4,TODAY(),"Y")</f>
        <v>9</v>
      </c>
      <c r="I4" s="55"/>
      <c r="J4" s="56">
        <v>42540</v>
      </c>
      <c r="K4" s="57">
        <v>5</v>
      </c>
      <c r="Q4" s="64">
        <v>25000</v>
      </c>
      <c r="R4" s="65">
        <v>0.05</v>
      </c>
      <c r="T4" s="43" t="s">
        <v>258</v>
      </c>
      <c r="U4" s="62">
        <v>49</v>
      </c>
      <c r="V4" s="62">
        <v>36</v>
      </c>
      <c r="W4" s="62">
        <v>40</v>
      </c>
      <c r="X4" s="62">
        <v>35</v>
      </c>
      <c r="Y4" s="62">
        <v>44</v>
      </c>
      <c r="Z4" s="62"/>
      <c r="AA4" s="63" t="s">
        <v>259</v>
      </c>
      <c r="AB4" s="62">
        <v>30</v>
      </c>
      <c r="AC4" s="62">
        <v>45</v>
      </c>
      <c r="AD4" s="62">
        <v>43</v>
      </c>
      <c r="AE4" s="62">
        <v>46</v>
      </c>
      <c r="AF4" s="62">
        <v>30</v>
      </c>
    </row>
    <row r="5" spans="1:32" x14ac:dyDescent="0.25">
      <c r="A5" s="48" t="s">
        <v>250</v>
      </c>
      <c r="B5" s="49" t="s">
        <v>251</v>
      </c>
      <c r="C5" s="48" t="s">
        <v>246</v>
      </c>
      <c r="D5" s="145">
        <v>330102344</v>
      </c>
      <c r="E5" s="48" t="s">
        <v>252</v>
      </c>
      <c r="F5" s="108">
        <v>33846</v>
      </c>
      <c r="G5" s="108" t="str">
        <f>CHOOSE(MONTH(F5),"Jan","Feb","Mar","Apr","May","Jun","Jul","Aug","Sep","Oct","Nov","Dec")</f>
        <v>Aug</v>
      </c>
      <c r="H5" s="54">
        <f ca="1">DATEDIF(F5,TODAY(),"Y")</f>
        <v>24</v>
      </c>
      <c r="I5" s="55"/>
      <c r="J5" s="56">
        <v>35680</v>
      </c>
      <c r="K5" s="57">
        <v>2</v>
      </c>
      <c r="L5" s="146"/>
      <c r="N5" s="59"/>
      <c r="Q5" s="64">
        <v>35000</v>
      </c>
      <c r="R5" s="65">
        <v>0.06</v>
      </c>
      <c r="T5" s="43" t="s">
        <v>263</v>
      </c>
      <c r="U5" s="62">
        <v>35</v>
      </c>
      <c r="V5" s="62">
        <v>46</v>
      </c>
      <c r="W5" s="62">
        <v>44</v>
      </c>
      <c r="X5" s="62">
        <v>48</v>
      </c>
      <c r="Y5" s="62">
        <v>47</v>
      </c>
      <c r="Z5" s="62"/>
      <c r="AA5" s="63" t="s">
        <v>264</v>
      </c>
      <c r="AB5" s="62">
        <v>46</v>
      </c>
      <c r="AC5" s="62">
        <v>40</v>
      </c>
      <c r="AD5" s="62">
        <v>45</v>
      </c>
      <c r="AE5" s="62">
        <v>45</v>
      </c>
      <c r="AF5" s="62">
        <v>37</v>
      </c>
    </row>
    <row r="6" spans="1:32" x14ac:dyDescent="0.25">
      <c r="A6" s="48" t="s">
        <v>265</v>
      </c>
      <c r="B6" s="49" t="s">
        <v>266</v>
      </c>
      <c r="C6" s="48" t="s">
        <v>246</v>
      </c>
      <c r="D6" s="145">
        <v>982839221</v>
      </c>
      <c r="E6" s="48" t="s">
        <v>256</v>
      </c>
      <c r="F6" s="108">
        <v>39447</v>
      </c>
      <c r="G6" s="108" t="str">
        <f>CHOOSE(MONTH(F6),"Jan","Feb","Mar","Apr","May","Jun","Jul","Aug","Sep","Oct","Nov","Dec")</f>
        <v>Dec</v>
      </c>
      <c r="H6" s="54">
        <f ca="1">DATEDIF(F6,TODAY(),"Y")</f>
        <v>8</v>
      </c>
      <c r="I6" s="55" t="s">
        <v>267</v>
      </c>
      <c r="J6" s="56">
        <v>72830</v>
      </c>
      <c r="K6" s="57">
        <v>2</v>
      </c>
      <c r="N6" s="59"/>
      <c r="Q6" s="64">
        <v>45000</v>
      </c>
      <c r="R6" s="65">
        <v>7.0000000000000007E-2</v>
      </c>
      <c r="T6" s="43" t="s">
        <v>268</v>
      </c>
      <c r="U6" s="62">
        <v>31</v>
      </c>
      <c r="V6" s="62">
        <v>49</v>
      </c>
      <c r="W6" s="62">
        <v>43</v>
      </c>
      <c r="X6" s="62">
        <v>42</v>
      </c>
      <c r="Y6" s="62">
        <v>34</v>
      </c>
      <c r="Z6" s="62"/>
      <c r="AA6" s="63" t="s">
        <v>269</v>
      </c>
      <c r="AB6" s="62">
        <v>38</v>
      </c>
      <c r="AC6" s="62">
        <v>39</v>
      </c>
      <c r="AD6" s="62">
        <v>42</v>
      </c>
      <c r="AE6" s="62">
        <v>40</v>
      </c>
      <c r="AF6" s="62">
        <v>43</v>
      </c>
    </row>
    <row r="7" spans="1:32" x14ac:dyDescent="0.25">
      <c r="A7" s="42" t="s">
        <v>284</v>
      </c>
      <c r="B7" s="49" t="s">
        <v>285</v>
      </c>
      <c r="C7" s="42" t="s">
        <v>272</v>
      </c>
      <c r="D7" s="145">
        <v>125553986</v>
      </c>
      <c r="E7" s="42" t="s">
        <v>256</v>
      </c>
      <c r="F7" s="84">
        <v>35464</v>
      </c>
      <c r="G7" s="108" t="str">
        <f>CHOOSE(MONTH(F7),"Jan","Feb","Mar","Apr","May","Jun","Jul","Aug","Sep","Oct","Nov","Dec")</f>
        <v>Feb</v>
      </c>
      <c r="H7" s="54">
        <f ca="1">DATEDIF(F7,TODAY(),"Y")</f>
        <v>19</v>
      </c>
      <c r="I7" s="55" t="s">
        <v>257</v>
      </c>
      <c r="J7" s="56">
        <v>60830</v>
      </c>
      <c r="K7" s="57">
        <v>2</v>
      </c>
      <c r="N7" s="59"/>
      <c r="Q7" s="64">
        <v>55000</v>
      </c>
      <c r="R7" s="65">
        <v>0.08</v>
      </c>
      <c r="T7" s="43" t="s">
        <v>273</v>
      </c>
      <c r="U7" s="62">
        <v>43</v>
      </c>
      <c r="V7" s="62">
        <v>38</v>
      </c>
      <c r="W7" s="62">
        <v>44</v>
      </c>
      <c r="X7" s="62">
        <v>44</v>
      </c>
      <c r="Y7" s="62">
        <v>39</v>
      </c>
      <c r="Z7" s="62"/>
      <c r="AA7" s="63" t="s">
        <v>274</v>
      </c>
      <c r="AB7" s="62">
        <v>30</v>
      </c>
      <c r="AC7" s="62">
        <v>47</v>
      </c>
      <c r="AD7" s="62">
        <v>46</v>
      </c>
      <c r="AE7" s="62">
        <v>42</v>
      </c>
      <c r="AF7" s="62">
        <v>34</v>
      </c>
    </row>
    <row r="8" spans="1:32" x14ac:dyDescent="0.25">
      <c r="A8" s="48" t="s">
        <v>281</v>
      </c>
      <c r="B8" s="49" t="s">
        <v>251</v>
      </c>
      <c r="C8" s="48" t="s">
        <v>272</v>
      </c>
      <c r="D8" s="145">
        <v>773563445</v>
      </c>
      <c r="E8" s="48" t="s">
        <v>261</v>
      </c>
      <c r="F8" s="108">
        <v>36217</v>
      </c>
      <c r="G8" s="108" t="str">
        <f>CHOOSE(MONTH(F8),"Jan","Feb","Mar","Apr","May","Jun","Jul","Aug","Sep","Oct","Nov","Dec")</f>
        <v>Feb</v>
      </c>
      <c r="H8" s="54">
        <f ca="1">DATEDIF(F8,TODAY(),"Y")</f>
        <v>17</v>
      </c>
      <c r="I8" s="55" t="s">
        <v>257</v>
      </c>
      <c r="J8" s="56">
        <v>15240</v>
      </c>
      <c r="K8" s="57">
        <v>1</v>
      </c>
      <c r="N8" s="59"/>
      <c r="Q8" s="64">
        <v>65000</v>
      </c>
      <c r="R8" s="65">
        <v>0.1</v>
      </c>
    </row>
    <row r="9" spans="1:32" x14ac:dyDescent="0.25">
      <c r="A9" s="42" t="s">
        <v>287</v>
      </c>
      <c r="B9" s="49" t="s">
        <v>271</v>
      </c>
      <c r="C9" s="42" t="s">
        <v>272</v>
      </c>
      <c r="D9" s="145">
        <v>443960950</v>
      </c>
      <c r="E9" s="42" t="s">
        <v>247</v>
      </c>
      <c r="F9" s="84">
        <v>34076</v>
      </c>
      <c r="G9" s="108" t="str">
        <f>CHOOSE(MONTH(F9),"Jan","Feb","Mar","Apr","May","Jun","Jul","Aug","Sep","Oct","Nov","Dec")</f>
        <v>Apr</v>
      </c>
      <c r="H9" s="54">
        <f ca="1">DATEDIF(F9,TODAY(),"Y")</f>
        <v>23</v>
      </c>
      <c r="I9" s="55"/>
      <c r="J9" s="56">
        <v>66580</v>
      </c>
      <c r="K9" s="57">
        <v>5</v>
      </c>
      <c r="M9" s="66"/>
      <c r="N9" s="59"/>
      <c r="Q9" s="64">
        <v>75000</v>
      </c>
      <c r="R9" s="65">
        <v>0.11</v>
      </c>
      <c r="T9" s="67"/>
      <c r="U9" s="68"/>
      <c r="V9" s="68"/>
      <c r="W9" s="68"/>
      <c r="X9" s="68"/>
      <c r="Y9" s="68"/>
      <c r="AA9" s="69"/>
      <c r="AB9" s="70"/>
      <c r="AC9" s="70"/>
      <c r="AD9" s="70"/>
      <c r="AE9" s="70"/>
    </row>
    <row r="10" spans="1:32" x14ac:dyDescent="0.25">
      <c r="A10" s="42" t="s">
        <v>292</v>
      </c>
      <c r="B10" s="49" t="s">
        <v>285</v>
      </c>
      <c r="C10" s="42" t="s">
        <v>272</v>
      </c>
      <c r="D10" s="145">
        <v>614756893</v>
      </c>
      <c r="E10" s="42" t="s">
        <v>256</v>
      </c>
      <c r="F10" s="84">
        <v>36260</v>
      </c>
      <c r="G10" s="108" t="str">
        <f>CHOOSE(MONTH(F10),"Jan","Feb","Mar","Apr","May","Jun","Jul","Aug","Sep","Oct","Nov","Dec")</f>
        <v>Apr</v>
      </c>
      <c r="H10" s="54">
        <f ca="1">DATEDIF(F10,TODAY(),"Y")</f>
        <v>17</v>
      </c>
      <c r="I10" s="55" t="s">
        <v>257</v>
      </c>
      <c r="J10" s="56">
        <v>75150</v>
      </c>
      <c r="K10" s="57">
        <v>1</v>
      </c>
      <c r="Q10" s="64">
        <v>85000</v>
      </c>
      <c r="R10" s="65">
        <v>0.12</v>
      </c>
      <c r="T10" s="67"/>
      <c r="U10" s="71"/>
      <c r="V10" s="71"/>
      <c r="W10" s="71"/>
      <c r="X10" s="71"/>
      <c r="Y10" s="71"/>
      <c r="Z10" s="72"/>
      <c r="AA10" s="73"/>
      <c r="AB10" s="55"/>
      <c r="AC10" s="55"/>
      <c r="AD10" s="55"/>
      <c r="AE10" s="55"/>
    </row>
    <row r="11" spans="1:32" x14ac:dyDescent="0.25">
      <c r="A11" s="42" t="s">
        <v>289</v>
      </c>
      <c r="B11" s="49" t="s">
        <v>251</v>
      </c>
      <c r="C11" s="42" t="s">
        <v>272</v>
      </c>
      <c r="D11" s="145">
        <v>524603364</v>
      </c>
      <c r="E11" s="42" t="s">
        <v>256</v>
      </c>
      <c r="F11" s="84">
        <v>37404</v>
      </c>
      <c r="G11" s="108" t="str">
        <f>CHOOSE(MONTH(F11),"Jan","Feb","Mar","Apr","May","Jun","Jul","Aug","Sep","Oct","Nov","Dec")</f>
        <v>May</v>
      </c>
      <c r="H11" s="54">
        <f ca="1">DATEDIF(F11,TODAY(),"Y")</f>
        <v>14</v>
      </c>
      <c r="I11" s="55" t="s">
        <v>257</v>
      </c>
      <c r="J11" s="56">
        <v>30780</v>
      </c>
      <c r="K11" s="57">
        <v>4</v>
      </c>
      <c r="Q11" s="64">
        <v>95000</v>
      </c>
      <c r="R11" s="65">
        <v>0.13</v>
      </c>
      <c r="T11" s="67"/>
      <c r="U11" s="71"/>
      <c r="V11" s="71"/>
      <c r="W11" s="71"/>
      <c r="X11" s="71"/>
      <c r="Y11" s="71"/>
      <c r="Z11" s="55"/>
      <c r="AA11" s="73"/>
      <c r="AB11" s="55"/>
      <c r="AC11" s="55"/>
      <c r="AD11" s="55"/>
      <c r="AE11" s="55"/>
    </row>
    <row r="12" spans="1:32" x14ac:dyDescent="0.25">
      <c r="A12" s="42" t="s">
        <v>288</v>
      </c>
      <c r="B12" s="49" t="s">
        <v>271</v>
      </c>
      <c r="C12" s="42" t="s">
        <v>272</v>
      </c>
      <c r="D12" s="145">
        <v>949476793</v>
      </c>
      <c r="E12" s="42" t="s">
        <v>261</v>
      </c>
      <c r="F12" s="84">
        <v>37782</v>
      </c>
      <c r="G12" s="108" t="str">
        <f>CHOOSE(MONTH(F12),"Jan","Feb","Mar","Apr","May","Jun","Jul","Aug","Sep","Oct","Nov","Dec")</f>
        <v>Jun</v>
      </c>
      <c r="H12" s="54">
        <f ca="1">DATEDIF(F12,TODAY(),"Y")</f>
        <v>13</v>
      </c>
      <c r="I12" s="55" t="s">
        <v>276</v>
      </c>
      <c r="J12" s="56">
        <v>17735</v>
      </c>
      <c r="K12" s="57">
        <v>3</v>
      </c>
      <c r="Q12" s="74"/>
      <c r="T12" s="67"/>
      <c r="U12" s="71"/>
      <c r="V12" s="71"/>
      <c r="W12" s="71"/>
      <c r="X12" s="71"/>
      <c r="Y12" s="71"/>
      <c r="Z12" s="55"/>
      <c r="AA12" s="73"/>
      <c r="AB12" s="55"/>
      <c r="AC12" s="55"/>
      <c r="AD12" s="55"/>
      <c r="AE12" s="55"/>
    </row>
    <row r="13" spans="1:32" x14ac:dyDescent="0.25">
      <c r="A13" s="48" t="s">
        <v>277</v>
      </c>
      <c r="B13" s="49" t="s">
        <v>271</v>
      </c>
      <c r="C13" s="48" t="s">
        <v>272</v>
      </c>
      <c r="D13" s="145">
        <v>743567419</v>
      </c>
      <c r="E13" s="48" t="s">
        <v>256</v>
      </c>
      <c r="F13" s="108">
        <v>38142</v>
      </c>
      <c r="G13" s="108" t="str">
        <f>CHOOSE(MONTH(F13),"Jan","Feb","Mar","Apr","May","Jun","Jul","Aug","Sep","Oct","Nov","Dec")</f>
        <v>Jun</v>
      </c>
      <c r="H13" s="54">
        <f ca="1">DATEDIF(F13,TODAY(),"Y")</f>
        <v>12</v>
      </c>
      <c r="I13" s="55" t="s">
        <v>257</v>
      </c>
      <c r="J13" s="56">
        <v>49350</v>
      </c>
      <c r="K13" s="57">
        <v>4</v>
      </c>
      <c r="N13" s="59"/>
      <c r="Q13" s="74"/>
      <c r="T13" s="67"/>
      <c r="U13" s="71"/>
      <c r="V13" s="71"/>
      <c r="W13" s="71"/>
      <c r="X13" s="71"/>
      <c r="Y13" s="71"/>
      <c r="Z13" s="55"/>
      <c r="AA13" s="73"/>
      <c r="AB13" s="55"/>
      <c r="AC13" s="55"/>
      <c r="AD13" s="55"/>
      <c r="AE13" s="55"/>
    </row>
    <row r="14" spans="1:32" x14ac:dyDescent="0.25">
      <c r="A14" s="48" t="s">
        <v>1060</v>
      </c>
      <c r="B14" s="49" t="s">
        <v>271</v>
      </c>
      <c r="C14" s="48" t="s">
        <v>272</v>
      </c>
      <c r="D14" s="145">
        <v>913964921</v>
      </c>
      <c r="E14" s="48" t="s">
        <v>261</v>
      </c>
      <c r="F14" s="108">
        <v>33474</v>
      </c>
      <c r="G14" s="108" t="str">
        <f>CHOOSE(MONTH(F14),"Jan","Feb","Mar","Apr","May","Jun","Jul","Aug","Sep","Oct","Nov","Dec")</f>
        <v>Aug</v>
      </c>
      <c r="H14" s="54">
        <f ca="1">DATEDIF(F14,TODAY(),"Y")</f>
        <v>25</v>
      </c>
      <c r="I14" s="55" t="s">
        <v>262</v>
      </c>
      <c r="J14" s="56">
        <v>30445</v>
      </c>
      <c r="K14" s="57">
        <v>1</v>
      </c>
      <c r="N14" s="59"/>
      <c r="T14" s="67"/>
      <c r="U14" s="71"/>
      <c r="V14" s="71"/>
      <c r="W14" s="71"/>
      <c r="X14" s="71"/>
      <c r="Y14" s="71"/>
      <c r="Z14" s="55"/>
      <c r="AA14" s="73"/>
      <c r="AB14" s="55"/>
      <c r="AC14" s="55"/>
      <c r="AD14" s="55"/>
      <c r="AE14" s="55"/>
    </row>
    <row r="15" spans="1:32" x14ac:dyDescent="0.25">
      <c r="A15" s="42" t="s">
        <v>293</v>
      </c>
      <c r="B15" s="49" t="s">
        <v>285</v>
      </c>
      <c r="C15" s="42" t="s">
        <v>272</v>
      </c>
      <c r="D15" s="145">
        <v>738732261</v>
      </c>
      <c r="E15" s="42" t="s">
        <v>256</v>
      </c>
      <c r="F15" s="84">
        <v>33831</v>
      </c>
      <c r="G15" s="108" t="str">
        <f>CHOOSE(MONTH(F15),"Jan","Feb","Mar","Apr","May","Jun","Jul","Aug","Sep","Oct","Nov","Dec")</f>
        <v>Aug</v>
      </c>
      <c r="H15" s="54">
        <f ca="1">DATEDIF(F15,TODAY(),"Y")</f>
        <v>24</v>
      </c>
      <c r="I15" s="55" t="s">
        <v>257</v>
      </c>
      <c r="J15" s="56">
        <v>79760</v>
      </c>
      <c r="K15" s="57">
        <v>5</v>
      </c>
      <c r="T15" s="67"/>
      <c r="U15" s="71"/>
      <c r="V15" s="71"/>
      <c r="W15" s="71"/>
      <c r="X15" s="71"/>
      <c r="Y15" s="71"/>
      <c r="Z15" s="55"/>
      <c r="AA15" s="73"/>
      <c r="AB15" s="55"/>
      <c r="AC15" s="55"/>
      <c r="AD15" s="55"/>
      <c r="AE15" s="55"/>
    </row>
    <row r="16" spans="1:32" x14ac:dyDescent="0.25">
      <c r="A16" s="42" t="s">
        <v>291</v>
      </c>
      <c r="B16" s="49" t="s">
        <v>266</v>
      </c>
      <c r="C16" s="42" t="s">
        <v>272</v>
      </c>
      <c r="D16" s="145">
        <v>875826544</v>
      </c>
      <c r="E16" s="42" t="s">
        <v>256</v>
      </c>
      <c r="F16" s="84">
        <v>36764</v>
      </c>
      <c r="G16" s="108" t="str">
        <f>CHOOSE(MONTH(F16),"Jan","Feb","Mar","Apr","May","Jun","Jul","Aug","Sep","Oct","Nov","Dec")</f>
        <v>Aug</v>
      </c>
      <c r="H16" s="54">
        <f ca="1">DATEDIF(F16,TODAY(),"Y")</f>
        <v>16</v>
      </c>
      <c r="I16" s="55" t="s">
        <v>276</v>
      </c>
      <c r="J16" s="56">
        <v>74840</v>
      </c>
      <c r="K16" s="57">
        <v>4</v>
      </c>
      <c r="U16" s="77"/>
      <c r="V16" s="77"/>
      <c r="W16" s="77"/>
      <c r="X16" s="77"/>
      <c r="Y16" s="55"/>
      <c r="Z16" s="55"/>
      <c r="AA16" s="55"/>
      <c r="AB16" s="55"/>
      <c r="AC16" s="55"/>
      <c r="AD16" s="55"/>
      <c r="AE16" s="55"/>
    </row>
    <row r="17" spans="1:14" x14ac:dyDescent="0.25">
      <c r="A17" s="48" t="s">
        <v>279</v>
      </c>
      <c r="B17" s="49" t="s">
        <v>280</v>
      </c>
      <c r="C17" s="48" t="s">
        <v>272</v>
      </c>
      <c r="D17" s="145">
        <v>648099824</v>
      </c>
      <c r="E17" s="48" t="s">
        <v>252</v>
      </c>
      <c r="F17" s="108">
        <v>33482</v>
      </c>
      <c r="G17" s="108" t="str">
        <f>CHOOSE(MONTH(F17),"Jan","Feb","Mar","Apr","May","Jun","Jul","Aug","Sep","Oct","Nov","Dec")</f>
        <v>Sep</v>
      </c>
      <c r="H17" s="54">
        <f ca="1">DATEDIF(F17,TODAY(),"Y")</f>
        <v>25</v>
      </c>
      <c r="I17" s="55" t="s">
        <v>257</v>
      </c>
      <c r="J17" s="56">
        <v>29070</v>
      </c>
      <c r="K17" s="57">
        <v>3</v>
      </c>
      <c r="N17" s="59"/>
    </row>
    <row r="18" spans="1:14" x14ac:dyDescent="0.25">
      <c r="A18" s="42" t="s">
        <v>286</v>
      </c>
      <c r="B18" s="49" t="s">
        <v>245</v>
      </c>
      <c r="C18" s="42" t="s">
        <v>272</v>
      </c>
      <c r="D18" s="145">
        <v>449757915</v>
      </c>
      <c r="E18" s="42" t="s">
        <v>247</v>
      </c>
      <c r="F18" s="84">
        <v>36777</v>
      </c>
      <c r="G18" s="108" t="str">
        <f>CHOOSE(MONTH(F18),"Jan","Feb","Mar","Apr","May","Jun","Jul","Aug","Sep","Oct","Nov","Dec")</f>
        <v>Sep</v>
      </c>
      <c r="H18" s="54">
        <f ca="1">DATEDIF(F18,TODAY(),"Y")</f>
        <v>16</v>
      </c>
      <c r="I18" s="55"/>
      <c r="J18" s="56">
        <v>76690</v>
      </c>
      <c r="K18" s="57">
        <v>3</v>
      </c>
      <c r="N18" s="59"/>
    </row>
    <row r="19" spans="1:14" x14ac:dyDescent="0.25">
      <c r="A19" s="48" t="s">
        <v>275</v>
      </c>
      <c r="B19" s="49" t="s">
        <v>245</v>
      </c>
      <c r="C19" s="48" t="s">
        <v>272</v>
      </c>
      <c r="D19" s="145">
        <v>408295902</v>
      </c>
      <c r="E19" s="48" t="s">
        <v>256</v>
      </c>
      <c r="F19" s="108">
        <v>39704</v>
      </c>
      <c r="G19" s="108" t="str">
        <f>CHOOSE(MONTH(F19),"Jan","Feb","Mar","Apr","May","Jun","Jul","Aug","Sep","Oct","Nov","Dec")</f>
        <v>Sep</v>
      </c>
      <c r="H19" s="54">
        <f ca="1">DATEDIF(F19,TODAY(),"Y")</f>
        <v>8</v>
      </c>
      <c r="I19" s="55" t="s">
        <v>276</v>
      </c>
      <c r="J19" s="56">
        <v>58290</v>
      </c>
      <c r="K19" s="57">
        <v>5</v>
      </c>
      <c r="N19" s="59"/>
    </row>
    <row r="20" spans="1:14" x14ac:dyDescent="0.25">
      <c r="A20" s="48" t="s">
        <v>282</v>
      </c>
      <c r="B20" s="49" t="s">
        <v>280</v>
      </c>
      <c r="C20" s="48" t="s">
        <v>272</v>
      </c>
      <c r="D20" s="145">
        <v>976890727</v>
      </c>
      <c r="E20" s="48" t="s">
        <v>256</v>
      </c>
      <c r="F20" s="108">
        <v>35742</v>
      </c>
      <c r="G20" s="108" t="str">
        <f>CHOOSE(MONTH(F20),"Jan","Feb","Mar","Apr","May","Jun","Jul","Aug","Sep","Oct","Nov","Dec")</f>
        <v>Nov</v>
      </c>
      <c r="H20" s="54">
        <f ca="1">DATEDIF(F20,TODAY(),"Y")</f>
        <v>19</v>
      </c>
      <c r="I20" s="55" t="s">
        <v>283</v>
      </c>
      <c r="J20" s="56">
        <v>85300</v>
      </c>
      <c r="K20" s="57">
        <v>2</v>
      </c>
      <c r="N20" s="59"/>
    </row>
    <row r="21" spans="1:14" x14ac:dyDescent="0.25">
      <c r="A21" s="48" t="s">
        <v>278</v>
      </c>
      <c r="B21" s="49" t="s">
        <v>245</v>
      </c>
      <c r="C21" s="48" t="s">
        <v>272</v>
      </c>
      <c r="D21" s="145">
        <v>296590972</v>
      </c>
      <c r="E21" s="48" t="s">
        <v>252</v>
      </c>
      <c r="F21" s="108">
        <v>40126</v>
      </c>
      <c r="G21" s="108" t="str">
        <f>CHOOSE(MONTH(F21),"Jan","Feb","Mar","Apr","May","Jun","Jul","Aug","Sep","Oct","Nov","Dec")</f>
        <v>Nov</v>
      </c>
      <c r="H21" s="54">
        <f ca="1">DATEDIF(F21,TODAY(),"Y")</f>
        <v>7</v>
      </c>
      <c r="I21" s="55"/>
      <c r="J21" s="56">
        <v>10636</v>
      </c>
      <c r="K21" s="57">
        <v>4</v>
      </c>
      <c r="N21" s="59"/>
    </row>
    <row r="22" spans="1:14" x14ac:dyDescent="0.25">
      <c r="A22" s="42" t="s">
        <v>294</v>
      </c>
      <c r="B22" s="49" t="s">
        <v>251</v>
      </c>
      <c r="C22" s="42" t="s">
        <v>272</v>
      </c>
      <c r="D22" s="145">
        <v>869619136</v>
      </c>
      <c r="E22" s="42" t="s">
        <v>256</v>
      </c>
      <c r="F22" s="84">
        <v>36143</v>
      </c>
      <c r="G22" s="108" t="str">
        <f>CHOOSE(MONTH(F22),"Jan","Feb","Mar","Apr","May","Jun","Jul","Aug","Sep","Oct","Nov","Dec")</f>
        <v>Dec</v>
      </c>
      <c r="H22" s="54">
        <f ca="1">DATEDIF(F22,TODAY(),"Y")</f>
        <v>17</v>
      </c>
      <c r="I22" s="55" t="s">
        <v>283</v>
      </c>
      <c r="J22" s="56">
        <v>72090</v>
      </c>
      <c r="K22" s="57">
        <v>5</v>
      </c>
    </row>
    <row r="23" spans="1:14" x14ac:dyDescent="0.25">
      <c r="A23" s="42" t="s">
        <v>290</v>
      </c>
      <c r="B23" s="49" t="s">
        <v>266</v>
      </c>
      <c r="C23" s="42" t="s">
        <v>272</v>
      </c>
      <c r="D23" s="145">
        <v>173338460</v>
      </c>
      <c r="E23" s="42" t="s">
        <v>256</v>
      </c>
      <c r="F23" s="84">
        <v>39069</v>
      </c>
      <c r="G23" s="108" t="str">
        <f>CHOOSE(MONTH(F23),"Jan","Feb","Mar","Apr","May","Jun","Jul","Aug","Sep","Oct","Nov","Dec")</f>
        <v>Dec</v>
      </c>
      <c r="H23" s="54">
        <f ca="1">DATEDIF(F23,TODAY(),"Y")</f>
        <v>9</v>
      </c>
      <c r="I23" s="55" t="s">
        <v>267</v>
      </c>
      <c r="J23" s="56">
        <v>37670</v>
      </c>
      <c r="K23" s="57">
        <v>3</v>
      </c>
    </row>
    <row r="24" spans="1:14" x14ac:dyDescent="0.25">
      <c r="A24" s="42" t="s">
        <v>300</v>
      </c>
      <c r="B24" s="49" t="s">
        <v>271</v>
      </c>
      <c r="C24" s="42" t="s">
        <v>296</v>
      </c>
      <c r="D24" s="145">
        <v>997694951</v>
      </c>
      <c r="E24" s="42" t="s">
        <v>256</v>
      </c>
      <c r="F24" s="84">
        <v>35459</v>
      </c>
      <c r="G24" s="108" t="str">
        <f>CHOOSE(MONTH(F24),"Jan","Feb","Mar","Apr","May","Jun","Jul","Aug","Sep","Oct","Nov","Dec")</f>
        <v>Jan</v>
      </c>
      <c r="H24" s="54">
        <f ca="1">DATEDIF(F24,TODAY(),"Y")</f>
        <v>19</v>
      </c>
      <c r="I24" s="55" t="s">
        <v>283</v>
      </c>
      <c r="J24" s="56">
        <v>49360</v>
      </c>
      <c r="K24" s="57">
        <v>2</v>
      </c>
    </row>
    <row r="25" spans="1:14" x14ac:dyDescent="0.25">
      <c r="A25" s="42" t="s">
        <v>303</v>
      </c>
      <c r="B25" s="49" t="s">
        <v>245</v>
      </c>
      <c r="C25" s="42" t="s">
        <v>296</v>
      </c>
      <c r="D25" s="145">
        <v>435936680</v>
      </c>
      <c r="E25" s="42" t="s">
        <v>256</v>
      </c>
      <c r="F25" s="84">
        <v>36893</v>
      </c>
      <c r="G25" s="108" t="str">
        <f>CHOOSE(MONTH(F25),"Jan","Feb","Mar","Apr","May","Jun","Jul","Aug","Sep","Oct","Nov","Dec")</f>
        <v>Jan</v>
      </c>
      <c r="H25" s="54">
        <f ca="1">DATEDIF(F25,TODAY(),"Y")</f>
        <v>15</v>
      </c>
      <c r="I25" s="55" t="s">
        <v>283</v>
      </c>
      <c r="J25" s="56">
        <v>33640</v>
      </c>
      <c r="K25" s="57">
        <v>3</v>
      </c>
    </row>
    <row r="26" spans="1:14" x14ac:dyDescent="0.25">
      <c r="A26" s="42" t="s">
        <v>298</v>
      </c>
      <c r="B26" s="49" t="s">
        <v>285</v>
      </c>
      <c r="C26" s="42" t="s">
        <v>296</v>
      </c>
      <c r="D26" s="145">
        <v>977547255</v>
      </c>
      <c r="E26" s="42" t="s">
        <v>256</v>
      </c>
      <c r="F26" s="84">
        <v>36214</v>
      </c>
      <c r="G26" s="108" t="str">
        <f>CHOOSE(MONTH(F26),"Jan","Feb","Mar","Apr","May","Jun","Jul","Aug","Sep","Oct","Nov","Dec")</f>
        <v>Feb</v>
      </c>
      <c r="H26" s="54">
        <f ca="1">DATEDIF(F26,TODAY(),"Y")</f>
        <v>17</v>
      </c>
      <c r="I26" s="55" t="s">
        <v>276</v>
      </c>
      <c r="J26" s="56">
        <v>47850</v>
      </c>
      <c r="K26" s="57">
        <v>1</v>
      </c>
    </row>
    <row r="27" spans="1:14" x14ac:dyDescent="0.25">
      <c r="A27" s="42" t="s">
        <v>302</v>
      </c>
      <c r="B27" s="49" t="s">
        <v>251</v>
      </c>
      <c r="C27" s="42" t="s">
        <v>296</v>
      </c>
      <c r="D27" s="145">
        <v>506579942</v>
      </c>
      <c r="E27" s="42" t="s">
        <v>256</v>
      </c>
      <c r="F27" s="84">
        <v>38051</v>
      </c>
      <c r="G27" s="108" t="str">
        <f>CHOOSE(MONTH(F27),"Jan","Feb","Mar","Apr","May","Jun","Jul","Aug","Sep","Oct","Nov","Dec")</f>
        <v>Mar</v>
      </c>
      <c r="H27" s="54">
        <f ca="1">DATEDIF(F27,TODAY(),"Y")</f>
        <v>12</v>
      </c>
      <c r="I27" s="55" t="s">
        <v>257</v>
      </c>
      <c r="J27" s="56">
        <v>30350</v>
      </c>
      <c r="K27" s="57">
        <v>1</v>
      </c>
    </row>
    <row r="28" spans="1:14" x14ac:dyDescent="0.25">
      <c r="A28" s="42" t="s">
        <v>297</v>
      </c>
      <c r="B28" s="49" t="s">
        <v>245</v>
      </c>
      <c r="C28" s="42" t="s">
        <v>296</v>
      </c>
      <c r="D28" s="145">
        <v>701949801</v>
      </c>
      <c r="E28" s="42" t="s">
        <v>256</v>
      </c>
      <c r="F28" s="84">
        <v>36619</v>
      </c>
      <c r="G28" s="108" t="str">
        <f>CHOOSE(MONTH(F28),"Jan","Feb","Mar","Apr","May","Jun","Jul","Aug","Sep","Oct","Nov","Dec")</f>
        <v>Apr</v>
      </c>
      <c r="H28" s="54">
        <f ca="1">DATEDIF(F28,TODAY(),"Y")</f>
        <v>16</v>
      </c>
      <c r="I28" s="55" t="s">
        <v>267</v>
      </c>
      <c r="J28" s="56">
        <v>56440</v>
      </c>
      <c r="K28" s="57">
        <v>1</v>
      </c>
    </row>
    <row r="29" spans="1:14" x14ac:dyDescent="0.25">
      <c r="A29" s="42" t="s">
        <v>299</v>
      </c>
      <c r="B29" s="49" t="s">
        <v>245</v>
      </c>
      <c r="C29" s="42" t="s">
        <v>296</v>
      </c>
      <c r="D29" s="145">
        <v>221738049</v>
      </c>
      <c r="E29" s="42" t="s">
        <v>261</v>
      </c>
      <c r="F29" s="84">
        <v>35564</v>
      </c>
      <c r="G29" s="108" t="str">
        <f>CHOOSE(MONTH(F29),"Jan","Feb","Mar","Apr","May","Jun","Jul","Aug","Sep","Oct","Nov","Dec")</f>
        <v>May</v>
      </c>
      <c r="H29" s="54">
        <f ca="1">DATEDIF(F29,TODAY(),"Y")</f>
        <v>19</v>
      </c>
      <c r="I29" s="55" t="s">
        <v>257</v>
      </c>
      <c r="J29" s="56">
        <v>11025</v>
      </c>
      <c r="K29" s="57">
        <v>1</v>
      </c>
    </row>
    <row r="30" spans="1:14" x14ac:dyDescent="0.25">
      <c r="A30" s="42" t="s">
        <v>301</v>
      </c>
      <c r="B30" s="49" t="s">
        <v>271</v>
      </c>
      <c r="C30" s="42" t="s">
        <v>296</v>
      </c>
      <c r="D30" s="145">
        <v>301176418</v>
      </c>
      <c r="E30" s="42" t="s">
        <v>252</v>
      </c>
      <c r="F30" s="84">
        <v>35674</v>
      </c>
      <c r="G30" s="108" t="str">
        <f>CHOOSE(MONTH(F30),"Jan","Feb","Mar","Apr","May","Jun","Jul","Aug","Sep","Oct","Nov","Dec")</f>
        <v>Sep</v>
      </c>
      <c r="H30" s="54">
        <f ca="1">DATEDIF(F30,TODAY(),"Y")</f>
        <v>19</v>
      </c>
      <c r="I30" s="55"/>
      <c r="J30" s="56">
        <v>20028</v>
      </c>
      <c r="K30" s="57">
        <v>4</v>
      </c>
    </row>
    <row r="31" spans="1:14" x14ac:dyDescent="0.25">
      <c r="A31" s="42" t="s">
        <v>295</v>
      </c>
      <c r="B31" s="49" t="s">
        <v>245</v>
      </c>
      <c r="C31" s="42" t="s">
        <v>296</v>
      </c>
      <c r="D31" s="145">
        <v>922702781</v>
      </c>
      <c r="E31" s="42" t="s">
        <v>256</v>
      </c>
      <c r="F31" s="84">
        <v>40106</v>
      </c>
      <c r="G31" s="108" t="str">
        <f>CHOOSE(MONTH(F31),"Jan","Feb","Mar","Apr","May","Jun","Jul","Aug","Sep","Oct","Nov","Dec")</f>
        <v>Oct</v>
      </c>
      <c r="H31" s="54">
        <f ca="1">DATEDIF(F31,TODAY(),"Y")</f>
        <v>7</v>
      </c>
      <c r="I31" s="55" t="s">
        <v>262</v>
      </c>
      <c r="J31" s="56">
        <v>51180</v>
      </c>
      <c r="K31" s="57">
        <v>3</v>
      </c>
      <c r="M31" s="66"/>
    </row>
    <row r="32" spans="1:14" x14ac:dyDescent="0.25">
      <c r="A32" s="42" t="s">
        <v>305</v>
      </c>
      <c r="B32" s="49" t="s">
        <v>245</v>
      </c>
      <c r="C32" s="42" t="s">
        <v>296</v>
      </c>
      <c r="D32" s="145">
        <v>918780574</v>
      </c>
      <c r="E32" s="42" t="s">
        <v>256</v>
      </c>
      <c r="F32" s="84">
        <v>33551</v>
      </c>
      <c r="G32" s="108" t="str">
        <f>CHOOSE(MONTH(F32),"Jan","Feb","Mar","Apr","May","Jun","Jul","Aug","Sep","Oct","Nov","Dec")</f>
        <v>Nov</v>
      </c>
      <c r="H32" s="54">
        <f ca="1">DATEDIF(F32,TODAY(),"Y")</f>
        <v>25</v>
      </c>
      <c r="I32" s="55" t="s">
        <v>262</v>
      </c>
      <c r="J32" s="56">
        <v>41350</v>
      </c>
      <c r="K32" s="57">
        <v>2</v>
      </c>
    </row>
    <row r="33" spans="1:16" x14ac:dyDescent="0.25">
      <c r="A33" s="42" t="s">
        <v>304</v>
      </c>
      <c r="B33" s="49" t="s">
        <v>285</v>
      </c>
      <c r="C33" s="42" t="s">
        <v>296</v>
      </c>
      <c r="D33" s="145">
        <v>283798481</v>
      </c>
      <c r="E33" s="42" t="s">
        <v>256</v>
      </c>
      <c r="F33" s="84">
        <v>34301</v>
      </c>
      <c r="G33" s="108" t="str">
        <f>CHOOSE(MONTH(F33),"Jan","Feb","Mar","Apr","May","Jun","Jul","Aug","Sep","Oct","Nov","Dec")</f>
        <v>Nov</v>
      </c>
      <c r="H33" s="54">
        <f ca="1">DATEDIF(F33,TODAY(),"Y")</f>
        <v>22</v>
      </c>
      <c r="I33" s="55" t="s">
        <v>257</v>
      </c>
      <c r="J33" s="56">
        <v>73440</v>
      </c>
      <c r="K33" s="57">
        <v>1</v>
      </c>
    </row>
    <row r="34" spans="1:16" x14ac:dyDescent="0.25">
      <c r="A34" s="42" t="s">
        <v>306</v>
      </c>
      <c r="B34" s="49" t="s">
        <v>285</v>
      </c>
      <c r="C34" s="42" t="s">
        <v>307</v>
      </c>
      <c r="D34" s="145">
        <v>514668289</v>
      </c>
      <c r="E34" s="42" t="s">
        <v>256</v>
      </c>
      <c r="F34" s="84">
        <v>33713</v>
      </c>
      <c r="G34" s="108" t="str">
        <f>CHOOSE(MONTH(F34),"Jan","Feb","Mar","Apr","May","Jun","Jul","Aug","Sep","Oct","Nov","Dec")</f>
        <v>Apr</v>
      </c>
      <c r="H34" s="54">
        <f ca="1">DATEDIF(F34,TODAY(),"Y")</f>
        <v>24</v>
      </c>
      <c r="I34" s="55" t="s">
        <v>257</v>
      </c>
      <c r="J34" s="56">
        <v>46220</v>
      </c>
      <c r="K34" s="57">
        <v>3</v>
      </c>
      <c r="M34" s="66"/>
      <c r="N34" s="78"/>
    </row>
    <row r="35" spans="1:16" x14ac:dyDescent="0.25">
      <c r="A35" s="42" t="s">
        <v>310</v>
      </c>
      <c r="B35" s="49" t="s">
        <v>280</v>
      </c>
      <c r="C35" s="42" t="s">
        <v>307</v>
      </c>
      <c r="D35" s="145">
        <v>845854028</v>
      </c>
      <c r="E35" s="42" t="s">
        <v>247</v>
      </c>
      <c r="F35" s="84">
        <v>35395</v>
      </c>
      <c r="G35" s="108" t="str">
        <f>CHOOSE(MONTH(F35),"Jan","Feb","Mar","Apr","May","Jun","Jul","Aug","Sep","Oct","Nov","Dec")</f>
        <v>Nov</v>
      </c>
      <c r="H35" s="54">
        <f ca="1">DATEDIF(F35,TODAY(),"Y")</f>
        <v>19</v>
      </c>
      <c r="I35" s="55"/>
      <c r="J35" s="56">
        <v>58130</v>
      </c>
      <c r="K35" s="57">
        <v>2</v>
      </c>
    </row>
    <row r="36" spans="1:16" x14ac:dyDescent="0.25">
      <c r="A36" s="42" t="s">
        <v>308</v>
      </c>
      <c r="B36" s="49" t="s">
        <v>285</v>
      </c>
      <c r="C36" s="42" t="s">
        <v>307</v>
      </c>
      <c r="D36" s="145">
        <v>869355642</v>
      </c>
      <c r="E36" s="42" t="s">
        <v>261</v>
      </c>
      <c r="F36" s="84">
        <v>39417</v>
      </c>
      <c r="G36" s="108" t="str">
        <f>CHOOSE(MONTH(F36),"Jan","Feb","Mar","Apr","May","Jun","Jul","Aug","Sep","Oct","Nov","Dec")</f>
        <v>Dec</v>
      </c>
      <c r="H36" s="54">
        <f ca="1">DATEDIF(F36,TODAY(),"Y")</f>
        <v>8</v>
      </c>
      <c r="I36" s="55" t="s">
        <v>267</v>
      </c>
      <c r="J36" s="56">
        <v>46095</v>
      </c>
      <c r="K36" s="57">
        <v>3</v>
      </c>
    </row>
    <row r="37" spans="1:16" x14ac:dyDescent="0.25">
      <c r="A37" s="42" t="s">
        <v>309</v>
      </c>
      <c r="B37" s="49" t="s">
        <v>271</v>
      </c>
      <c r="C37" s="42" t="s">
        <v>307</v>
      </c>
      <c r="D37" s="145">
        <v>315679067</v>
      </c>
      <c r="E37" s="42" t="s">
        <v>261</v>
      </c>
      <c r="F37" s="84">
        <v>40152</v>
      </c>
      <c r="G37" s="108" t="str">
        <f>CHOOSE(MONTH(F37),"Jan","Feb","Mar","Apr","May","Jun","Jul","Aug","Sep","Oct","Nov","Dec")</f>
        <v>Dec</v>
      </c>
      <c r="H37" s="54">
        <f ca="1">DATEDIF(F37,TODAY(),"Y")</f>
        <v>6</v>
      </c>
      <c r="I37" s="55" t="s">
        <v>283</v>
      </c>
      <c r="J37" s="56">
        <v>28680</v>
      </c>
      <c r="K37" s="57">
        <v>1</v>
      </c>
      <c r="O37" s="78"/>
      <c r="P37" s="78"/>
    </row>
    <row r="38" spans="1:16" x14ac:dyDescent="0.25">
      <c r="A38" s="42" t="s">
        <v>315</v>
      </c>
      <c r="B38" s="49" t="s">
        <v>285</v>
      </c>
      <c r="C38" s="42" t="s">
        <v>312</v>
      </c>
      <c r="D38" s="145">
        <v>802202338</v>
      </c>
      <c r="E38" s="42" t="s">
        <v>252</v>
      </c>
      <c r="F38" s="84">
        <v>33620</v>
      </c>
      <c r="G38" s="108" t="str">
        <f>CHOOSE(MONTH(F38),"Jan","Feb","Mar","Apr","May","Jun","Jul","Aug","Sep","Oct","Nov","Dec")</f>
        <v>Jan</v>
      </c>
      <c r="H38" s="54">
        <f ca="1">DATEDIF(F38,TODAY(),"Y")</f>
        <v>24</v>
      </c>
      <c r="I38" s="55"/>
      <c r="J38" s="56">
        <v>14568</v>
      </c>
      <c r="K38" s="57">
        <v>3</v>
      </c>
      <c r="N38" s="78"/>
    </row>
    <row r="39" spans="1:16" x14ac:dyDescent="0.25">
      <c r="A39" s="42" t="s">
        <v>367</v>
      </c>
      <c r="B39" s="49" t="s">
        <v>245</v>
      </c>
      <c r="C39" s="42" t="s">
        <v>312</v>
      </c>
      <c r="D39" s="145">
        <v>287243247</v>
      </c>
      <c r="E39" s="42" t="s">
        <v>247</v>
      </c>
      <c r="F39" s="84">
        <v>33981</v>
      </c>
      <c r="G39" s="108" t="str">
        <f>CHOOSE(MONTH(F39),"Jan","Feb","Mar","Apr","May","Jun","Jul","Aug","Sep","Oct","Nov","Dec")</f>
        <v>Jan</v>
      </c>
      <c r="H39" s="54">
        <f ca="1">DATEDIF(F39,TODAY(),"Y")</f>
        <v>23</v>
      </c>
      <c r="I39" s="55"/>
      <c r="J39" s="56">
        <v>83020</v>
      </c>
      <c r="K39" s="57">
        <v>4</v>
      </c>
    </row>
    <row r="40" spans="1:16" x14ac:dyDescent="0.25">
      <c r="A40" s="42" t="s">
        <v>318</v>
      </c>
      <c r="B40" s="49" t="s">
        <v>271</v>
      </c>
      <c r="C40" s="42" t="s">
        <v>312</v>
      </c>
      <c r="D40" s="145">
        <v>609941729</v>
      </c>
      <c r="E40" s="42" t="s">
        <v>256</v>
      </c>
      <c r="F40" s="84">
        <v>35086</v>
      </c>
      <c r="G40" s="108" t="str">
        <f>CHOOSE(MONTH(F40),"Jan","Feb","Mar","Apr","May","Jun","Jul","Aug","Sep","Oct","Nov","Dec")</f>
        <v>Jan</v>
      </c>
      <c r="H40" s="54">
        <f ca="1">DATEDIF(F40,TODAY(),"Y")</f>
        <v>20</v>
      </c>
      <c r="I40" s="55" t="s">
        <v>267</v>
      </c>
      <c r="J40" s="56">
        <v>77350</v>
      </c>
      <c r="K40" s="57">
        <v>5</v>
      </c>
      <c r="M40" s="66"/>
    </row>
    <row r="41" spans="1:16" x14ac:dyDescent="0.25">
      <c r="A41" s="42" t="s">
        <v>358</v>
      </c>
      <c r="B41" s="49" t="s">
        <v>266</v>
      </c>
      <c r="C41" s="42" t="s">
        <v>312</v>
      </c>
      <c r="D41" s="145">
        <v>154212172</v>
      </c>
      <c r="E41" s="42" t="s">
        <v>261</v>
      </c>
      <c r="F41" s="84">
        <v>36896</v>
      </c>
      <c r="G41" s="108" t="str">
        <f>CHOOSE(MONTH(F41),"Jan","Feb","Mar","Apr","May","Jun","Jul","Aug","Sep","Oct","Nov","Dec")</f>
        <v>Jan</v>
      </c>
      <c r="H41" s="54">
        <f ca="1">DATEDIF(F41,TODAY(),"Y")</f>
        <v>15</v>
      </c>
      <c r="I41" s="55" t="s">
        <v>257</v>
      </c>
      <c r="J41" s="56">
        <v>35280</v>
      </c>
      <c r="K41" s="57">
        <v>3</v>
      </c>
    </row>
    <row r="42" spans="1:16" x14ac:dyDescent="0.25">
      <c r="A42" s="42" t="s">
        <v>326</v>
      </c>
      <c r="B42" s="49" t="s">
        <v>280</v>
      </c>
      <c r="C42" s="42" t="s">
        <v>312</v>
      </c>
      <c r="D42" s="145">
        <v>646627249</v>
      </c>
      <c r="E42" s="42" t="s">
        <v>247</v>
      </c>
      <c r="F42" s="84">
        <v>35119</v>
      </c>
      <c r="G42" s="108" t="str">
        <f>CHOOSE(MONTH(F42),"Jan","Feb","Mar","Apr","May","Jun","Jul","Aug","Sep","Oct","Nov","Dec")</f>
        <v>Feb</v>
      </c>
      <c r="H42" s="54">
        <f ca="1">DATEDIF(F42,TODAY(),"Y")</f>
        <v>20</v>
      </c>
      <c r="I42" s="55"/>
      <c r="J42" s="56">
        <v>64390</v>
      </c>
      <c r="K42" s="57">
        <v>2</v>
      </c>
    </row>
    <row r="43" spans="1:16" x14ac:dyDescent="0.25">
      <c r="A43" s="42" t="s">
        <v>352</v>
      </c>
      <c r="B43" s="49" t="s">
        <v>285</v>
      </c>
      <c r="C43" s="42" t="s">
        <v>312</v>
      </c>
      <c r="D43" s="145">
        <v>709375309</v>
      </c>
      <c r="E43" s="42" t="s">
        <v>256</v>
      </c>
      <c r="F43" s="84">
        <v>35829</v>
      </c>
      <c r="G43" s="108" t="str">
        <f>CHOOSE(MONTH(F43),"Jan","Feb","Mar","Apr","May","Jun","Jul","Aug","Sep","Oct","Nov","Dec")</f>
        <v>Feb</v>
      </c>
      <c r="H43" s="54">
        <f ca="1">DATEDIF(F43,TODAY(),"Y")</f>
        <v>18</v>
      </c>
      <c r="I43" s="55" t="s">
        <v>257</v>
      </c>
      <c r="J43" s="56">
        <v>61030</v>
      </c>
      <c r="K43" s="57">
        <v>3</v>
      </c>
      <c r="M43" s="66"/>
      <c r="N43" s="78"/>
    </row>
    <row r="44" spans="1:16" x14ac:dyDescent="0.25">
      <c r="A44" s="42" t="s">
        <v>344</v>
      </c>
      <c r="B44" s="49" t="s">
        <v>271</v>
      </c>
      <c r="C44" s="42" t="s">
        <v>312</v>
      </c>
      <c r="D44" s="145">
        <v>402771527</v>
      </c>
      <c r="E44" s="42" t="s">
        <v>261</v>
      </c>
      <c r="F44" s="84">
        <v>35842</v>
      </c>
      <c r="G44" s="108" t="str">
        <f>CHOOSE(MONTH(F44),"Jan","Feb","Mar","Apr","May","Jun","Jul","Aug","Sep","Oct","Nov","Dec")</f>
        <v>Feb</v>
      </c>
      <c r="H44" s="54">
        <f ca="1">DATEDIF(F44,TODAY(),"Y")</f>
        <v>18</v>
      </c>
      <c r="I44" s="55" t="s">
        <v>276</v>
      </c>
      <c r="J44" s="56">
        <v>23380</v>
      </c>
      <c r="K44" s="57">
        <v>4</v>
      </c>
    </row>
    <row r="45" spans="1:16" x14ac:dyDescent="0.25">
      <c r="A45" s="42" t="s">
        <v>314</v>
      </c>
      <c r="B45" s="49" t="s">
        <v>271</v>
      </c>
      <c r="C45" s="42" t="s">
        <v>312</v>
      </c>
      <c r="D45" s="145">
        <v>441441239</v>
      </c>
      <c r="E45" s="42" t="s">
        <v>247</v>
      </c>
      <c r="F45" s="84">
        <v>35848</v>
      </c>
      <c r="G45" s="108" t="str">
        <f>CHOOSE(MONTH(F45),"Jan","Feb","Mar","Apr","May","Jun","Jul","Aug","Sep","Oct","Nov","Dec")</f>
        <v>Feb</v>
      </c>
      <c r="H45" s="54">
        <f ca="1">DATEDIF(F45,TODAY(),"Y")</f>
        <v>18</v>
      </c>
      <c r="I45" s="55"/>
      <c r="J45" s="56">
        <v>85480</v>
      </c>
      <c r="K45" s="57">
        <v>5</v>
      </c>
    </row>
    <row r="46" spans="1:16" x14ac:dyDescent="0.25">
      <c r="A46" s="42" t="s">
        <v>365</v>
      </c>
      <c r="B46" s="49" t="s">
        <v>251</v>
      </c>
      <c r="C46" s="42" t="s">
        <v>312</v>
      </c>
      <c r="D46" s="145">
        <v>656257481</v>
      </c>
      <c r="E46" s="42" t="s">
        <v>256</v>
      </c>
      <c r="F46" s="84">
        <v>40575</v>
      </c>
      <c r="G46" s="108" t="str">
        <f>CHOOSE(MONTH(F46),"Jan","Feb","Mar","Apr","May","Jun","Jul","Aug","Sep","Oct","Nov","Dec")</f>
        <v>Feb</v>
      </c>
      <c r="H46" s="54">
        <f ca="1">DATEDIF(F46,TODAY(),"Y")</f>
        <v>5</v>
      </c>
      <c r="I46" s="55" t="s">
        <v>276</v>
      </c>
      <c r="J46" s="56">
        <v>74710</v>
      </c>
      <c r="K46" s="57">
        <v>2</v>
      </c>
    </row>
    <row r="47" spans="1:16" x14ac:dyDescent="0.25">
      <c r="A47" s="42" t="s">
        <v>340</v>
      </c>
      <c r="B47" s="49" t="s">
        <v>285</v>
      </c>
      <c r="C47" s="42" t="s">
        <v>312</v>
      </c>
      <c r="D47" s="145">
        <v>939109663</v>
      </c>
      <c r="E47" s="42" t="s">
        <v>256</v>
      </c>
      <c r="F47" s="84">
        <v>40596</v>
      </c>
      <c r="G47" s="108" t="str">
        <f>CHOOSE(MONTH(F47),"Jan","Feb","Mar","Apr","May","Jun","Jul","Aug","Sep","Oct","Nov","Dec")</f>
        <v>Feb</v>
      </c>
      <c r="H47" s="54">
        <f ca="1">DATEDIF(F47,TODAY(),"Y")</f>
        <v>5</v>
      </c>
      <c r="I47" s="55" t="s">
        <v>267</v>
      </c>
      <c r="J47" s="56">
        <v>68910</v>
      </c>
      <c r="K47" s="57">
        <v>5</v>
      </c>
    </row>
    <row r="48" spans="1:16" x14ac:dyDescent="0.25">
      <c r="A48" s="42" t="s">
        <v>349</v>
      </c>
      <c r="B48" s="49" t="s">
        <v>251</v>
      </c>
      <c r="C48" s="42" t="s">
        <v>312</v>
      </c>
      <c r="D48" s="145">
        <v>733538081</v>
      </c>
      <c r="E48" s="42" t="s">
        <v>247</v>
      </c>
      <c r="F48" s="84">
        <v>33678</v>
      </c>
      <c r="G48" s="108" t="str">
        <f>CHOOSE(MONTH(F48),"Jan","Feb","Mar","Apr","May","Jun","Jul","Aug","Sep","Oct","Nov","Dec")</f>
        <v>Mar</v>
      </c>
      <c r="H48" s="54">
        <f ca="1">DATEDIF(F48,TODAY(),"Y")</f>
        <v>24</v>
      </c>
      <c r="I48" s="55"/>
      <c r="J48" s="56">
        <v>64460</v>
      </c>
      <c r="K48" s="57">
        <v>1</v>
      </c>
    </row>
    <row r="49" spans="1:16" x14ac:dyDescent="0.25">
      <c r="A49" s="42" t="s">
        <v>353</v>
      </c>
      <c r="B49" s="49" t="s">
        <v>271</v>
      </c>
      <c r="C49" s="42" t="s">
        <v>312</v>
      </c>
      <c r="D49" s="145">
        <v>556904079</v>
      </c>
      <c r="E49" s="42" t="s">
        <v>247</v>
      </c>
      <c r="F49" s="84">
        <v>35505</v>
      </c>
      <c r="G49" s="108" t="str">
        <f>CHOOSE(MONTH(F49),"Jan","Feb","Mar","Apr","May","Jun","Jul","Aug","Sep","Oct","Nov","Dec")</f>
        <v>Mar</v>
      </c>
      <c r="H49" s="54">
        <f ca="1">DATEDIF(F49,TODAY(),"Y")</f>
        <v>19</v>
      </c>
      <c r="I49" s="55"/>
      <c r="J49" s="56">
        <v>74740</v>
      </c>
      <c r="K49" s="57">
        <v>5</v>
      </c>
    </row>
    <row r="50" spans="1:16" x14ac:dyDescent="0.25">
      <c r="A50" s="42" t="s">
        <v>346</v>
      </c>
      <c r="B50" s="49" t="s">
        <v>245</v>
      </c>
      <c r="C50" s="42" t="s">
        <v>312</v>
      </c>
      <c r="D50" s="145">
        <v>305677673</v>
      </c>
      <c r="E50" s="42" t="s">
        <v>261</v>
      </c>
      <c r="F50" s="84">
        <v>35517</v>
      </c>
      <c r="G50" s="108" t="str">
        <f>CHOOSE(MONTH(F50),"Jan","Feb","Mar","Apr","May","Jun","Jul","Aug","Sep","Oct","Nov","Dec")</f>
        <v>Mar</v>
      </c>
      <c r="H50" s="54">
        <f ca="1">DATEDIF(F50,TODAY(),"Y")</f>
        <v>19</v>
      </c>
      <c r="I50" s="55" t="s">
        <v>267</v>
      </c>
      <c r="J50" s="56">
        <v>48415</v>
      </c>
      <c r="K50" s="57">
        <v>4</v>
      </c>
    </row>
    <row r="51" spans="1:16" x14ac:dyDescent="0.25">
      <c r="A51" s="42" t="s">
        <v>338</v>
      </c>
      <c r="B51" s="49" t="s">
        <v>285</v>
      </c>
      <c r="C51" s="42" t="s">
        <v>312</v>
      </c>
      <c r="D51" s="145">
        <v>385614161</v>
      </c>
      <c r="E51" s="42" t="s">
        <v>252</v>
      </c>
      <c r="F51" s="84">
        <v>36602</v>
      </c>
      <c r="G51" s="108" t="str">
        <f>CHOOSE(MONTH(F51),"Jan","Feb","Mar","Apr","May","Jun","Jul","Aug","Sep","Oct","Nov","Dec")</f>
        <v>Mar</v>
      </c>
      <c r="H51" s="54">
        <f ca="1">DATEDIF(F51,TODAY(),"Y")</f>
        <v>16</v>
      </c>
      <c r="I51" s="55"/>
      <c r="J51" s="56">
        <v>30080</v>
      </c>
      <c r="K51" s="57">
        <v>3</v>
      </c>
    </row>
    <row r="52" spans="1:16" x14ac:dyDescent="0.25">
      <c r="A52" s="42" t="s">
        <v>347</v>
      </c>
      <c r="B52" s="49" t="s">
        <v>245</v>
      </c>
      <c r="C52" s="42" t="s">
        <v>312</v>
      </c>
      <c r="D52" s="145">
        <v>385730003</v>
      </c>
      <c r="E52" s="42" t="s">
        <v>256</v>
      </c>
      <c r="F52" s="84">
        <v>33348</v>
      </c>
      <c r="G52" s="108" t="str">
        <f>CHOOSE(MONTH(F52),"Jan","Feb","Mar","Apr","May","Jun","Jul","Aug","Sep","Oct","Nov","Dec")</f>
        <v>Apr</v>
      </c>
      <c r="H52" s="54">
        <f ca="1">DATEDIF(F52,TODAY(),"Y")</f>
        <v>25</v>
      </c>
      <c r="I52" s="55" t="s">
        <v>276</v>
      </c>
      <c r="J52" s="56">
        <v>49810</v>
      </c>
      <c r="K52" s="57">
        <v>2</v>
      </c>
      <c r="O52" s="78"/>
      <c r="P52" s="78"/>
    </row>
    <row r="53" spans="1:16" x14ac:dyDescent="0.25">
      <c r="A53" s="42" t="s">
        <v>366</v>
      </c>
      <c r="B53" s="49" t="s">
        <v>245</v>
      </c>
      <c r="C53" s="42" t="s">
        <v>312</v>
      </c>
      <c r="D53" s="145">
        <v>614068458</v>
      </c>
      <c r="E53" s="42" t="s">
        <v>247</v>
      </c>
      <c r="F53" s="84">
        <v>35160</v>
      </c>
      <c r="G53" s="108" t="str">
        <f>CHOOSE(MONTH(F53),"Jan","Feb","Mar","Apr","May","Jun","Jul","Aug","Sep","Oct","Nov","Dec")</f>
        <v>Apr</v>
      </c>
      <c r="H53" s="54">
        <f ca="1">DATEDIF(F53,TODAY(),"Y")</f>
        <v>20</v>
      </c>
      <c r="I53" s="55"/>
      <c r="J53" s="56">
        <v>50550</v>
      </c>
      <c r="K53" s="57">
        <v>2</v>
      </c>
    </row>
    <row r="54" spans="1:16" x14ac:dyDescent="0.25">
      <c r="A54" s="42" t="s">
        <v>336</v>
      </c>
      <c r="B54" s="49" t="s">
        <v>271</v>
      </c>
      <c r="C54" s="42" t="s">
        <v>312</v>
      </c>
      <c r="D54" s="145">
        <v>793197298</v>
      </c>
      <c r="E54" s="42" t="s">
        <v>247</v>
      </c>
      <c r="F54" s="84">
        <v>35902</v>
      </c>
      <c r="G54" s="108" t="str">
        <f>CHOOSE(MONTH(F54),"Jan","Feb","Mar","Apr","May","Jun","Jul","Aug","Sep","Oct","Nov","Dec")</f>
        <v>Apr</v>
      </c>
      <c r="H54" s="54">
        <f ca="1">DATEDIF(F54,TODAY(),"Y")</f>
        <v>18</v>
      </c>
      <c r="I54" s="55"/>
      <c r="J54" s="56">
        <v>63340</v>
      </c>
      <c r="K54" s="57">
        <v>3</v>
      </c>
    </row>
    <row r="55" spans="1:16" x14ac:dyDescent="0.25">
      <c r="A55" s="42" t="s">
        <v>356</v>
      </c>
      <c r="B55" s="49" t="s">
        <v>285</v>
      </c>
      <c r="C55" s="42" t="s">
        <v>312</v>
      </c>
      <c r="D55" s="145">
        <v>987347037</v>
      </c>
      <c r="E55" s="42" t="s">
        <v>256</v>
      </c>
      <c r="F55" s="84">
        <v>37008</v>
      </c>
      <c r="G55" s="108" t="str">
        <f>CHOOSE(MONTH(F55),"Jan","Feb","Mar","Apr","May","Jun","Jul","Aug","Sep","Oct","Nov","Dec")</f>
        <v>Apr</v>
      </c>
      <c r="H55" s="54">
        <f ca="1">DATEDIF(F55,TODAY(),"Y")</f>
        <v>15</v>
      </c>
      <c r="I55" s="55" t="s">
        <v>257</v>
      </c>
      <c r="J55" s="56">
        <v>27180</v>
      </c>
      <c r="K55" s="57">
        <v>4</v>
      </c>
    </row>
    <row r="56" spans="1:16" x14ac:dyDescent="0.25">
      <c r="A56" s="42" t="s">
        <v>329</v>
      </c>
      <c r="B56" s="49" t="s">
        <v>285</v>
      </c>
      <c r="C56" s="42" t="s">
        <v>312</v>
      </c>
      <c r="D56" s="145">
        <v>491631053</v>
      </c>
      <c r="E56" s="42" t="s">
        <v>256</v>
      </c>
      <c r="F56" s="84">
        <v>37348</v>
      </c>
      <c r="G56" s="108" t="str">
        <f>CHOOSE(MONTH(F56),"Jan","Feb","Mar","Apr","May","Jun","Jul","Aug","Sep","Oct","Nov","Dec")</f>
        <v>Apr</v>
      </c>
      <c r="H56" s="54">
        <f ca="1">DATEDIF(F56,TODAY(),"Y")</f>
        <v>14</v>
      </c>
      <c r="I56" s="55" t="s">
        <v>262</v>
      </c>
      <c r="J56" s="56">
        <v>85880</v>
      </c>
      <c r="K56" s="57">
        <v>3</v>
      </c>
    </row>
    <row r="57" spans="1:16" x14ac:dyDescent="0.25">
      <c r="A57" s="42" t="s">
        <v>363</v>
      </c>
      <c r="B57" s="49" t="s">
        <v>280</v>
      </c>
      <c r="C57" s="42" t="s">
        <v>312</v>
      </c>
      <c r="D57" s="145">
        <v>688738708</v>
      </c>
      <c r="E57" s="42" t="s">
        <v>247</v>
      </c>
      <c r="F57" s="84">
        <v>39922</v>
      </c>
      <c r="G57" s="108" t="str">
        <f>CHOOSE(MONTH(F57),"Jan","Feb","Mar","Apr","May","Jun","Jul","Aug","Sep","Oct","Nov","Dec")</f>
        <v>Apr</v>
      </c>
      <c r="H57" s="54">
        <f ca="1">DATEDIF(F57,TODAY(),"Y")</f>
        <v>7</v>
      </c>
      <c r="I57" s="55"/>
      <c r="J57" s="56">
        <v>25790</v>
      </c>
      <c r="K57" s="57">
        <v>3</v>
      </c>
      <c r="O57" s="78"/>
      <c r="P57" s="78"/>
    </row>
    <row r="58" spans="1:16" x14ac:dyDescent="0.25">
      <c r="A58" s="42" t="s">
        <v>361</v>
      </c>
      <c r="B58" s="49" t="s">
        <v>271</v>
      </c>
      <c r="C58" s="42" t="s">
        <v>312</v>
      </c>
      <c r="D58" s="145">
        <v>375997483</v>
      </c>
      <c r="E58" s="42" t="s">
        <v>256</v>
      </c>
      <c r="F58" s="84">
        <v>40274</v>
      </c>
      <c r="G58" s="108" t="str">
        <f>CHOOSE(MONTH(F58),"Jan","Feb","Mar","Apr","May","Jun","Jul","Aug","Sep","Oct","Nov","Dec")</f>
        <v>Apr</v>
      </c>
      <c r="H58" s="54">
        <f ca="1">DATEDIF(F58,TODAY(),"Y")</f>
        <v>6</v>
      </c>
      <c r="I58" s="55" t="s">
        <v>262</v>
      </c>
      <c r="J58" s="56">
        <v>38730</v>
      </c>
      <c r="K58" s="57">
        <v>1</v>
      </c>
    </row>
    <row r="59" spans="1:16" x14ac:dyDescent="0.25">
      <c r="A59" s="42" t="s">
        <v>359</v>
      </c>
      <c r="B59" s="49" t="s">
        <v>245</v>
      </c>
      <c r="C59" s="42" t="s">
        <v>312</v>
      </c>
      <c r="D59" s="145">
        <v>745828638</v>
      </c>
      <c r="E59" s="42" t="s">
        <v>256</v>
      </c>
      <c r="F59" s="106">
        <v>40292</v>
      </c>
      <c r="G59" s="108" t="str">
        <f>CHOOSE(MONTH(F59),"Jan","Feb","Mar","Apr","May","Jun","Jul","Aug","Sep","Oct","Nov","Dec")</f>
        <v>Apr</v>
      </c>
      <c r="H59" s="54">
        <f ca="1">DATEDIF(F59,TODAY(),"Y")</f>
        <v>6</v>
      </c>
      <c r="I59" s="55" t="s">
        <v>257</v>
      </c>
      <c r="J59" s="56">
        <v>23280</v>
      </c>
      <c r="K59" s="57">
        <v>1</v>
      </c>
      <c r="O59" s="78"/>
      <c r="P59" s="78"/>
    </row>
    <row r="60" spans="1:16" x14ac:dyDescent="0.25">
      <c r="A60" s="42" t="s">
        <v>354</v>
      </c>
      <c r="B60" s="49" t="s">
        <v>285</v>
      </c>
      <c r="C60" s="42" t="s">
        <v>312</v>
      </c>
      <c r="D60" s="145">
        <v>536037298</v>
      </c>
      <c r="E60" s="42" t="s">
        <v>256</v>
      </c>
      <c r="F60" s="84">
        <v>33746</v>
      </c>
      <c r="G60" s="108" t="str">
        <f>CHOOSE(MONTH(F60),"Jan","Feb","Mar","Apr","May","Jun","Jul","Aug","Sep","Oct","Nov","Dec")</f>
        <v>May</v>
      </c>
      <c r="H60" s="54">
        <f ca="1">DATEDIF(F60,TODAY(),"Y")</f>
        <v>24</v>
      </c>
      <c r="I60" s="55" t="s">
        <v>262</v>
      </c>
      <c r="J60" s="56">
        <v>31830</v>
      </c>
      <c r="K60" s="57">
        <v>3</v>
      </c>
    </row>
    <row r="61" spans="1:16" x14ac:dyDescent="0.25">
      <c r="A61" s="42" t="s">
        <v>368</v>
      </c>
      <c r="B61" s="49" t="s">
        <v>285</v>
      </c>
      <c r="C61" s="42" t="s">
        <v>312</v>
      </c>
      <c r="D61" s="145">
        <v>808619993</v>
      </c>
      <c r="E61" s="42" t="s">
        <v>256</v>
      </c>
      <c r="F61" s="84">
        <v>34474</v>
      </c>
      <c r="G61" s="108" t="str">
        <f>CHOOSE(MONTH(F61),"Jan","Feb","Mar","Apr","May","Jun","Jul","Aug","Sep","Oct","Nov","Dec")</f>
        <v>May</v>
      </c>
      <c r="H61" s="54">
        <f ca="1">DATEDIF(F61,TODAY(),"Y")</f>
        <v>22</v>
      </c>
      <c r="I61" s="55" t="s">
        <v>262</v>
      </c>
      <c r="J61" s="56">
        <v>74670</v>
      </c>
      <c r="K61" s="57">
        <v>5</v>
      </c>
    </row>
    <row r="62" spans="1:16" x14ac:dyDescent="0.25">
      <c r="A62" s="42" t="s">
        <v>323</v>
      </c>
      <c r="B62" s="49" t="s">
        <v>271</v>
      </c>
      <c r="C62" s="42" t="s">
        <v>312</v>
      </c>
      <c r="D62" s="145">
        <v>821425651</v>
      </c>
      <c r="E62" s="42" t="s">
        <v>256</v>
      </c>
      <c r="F62" s="84">
        <v>34832</v>
      </c>
      <c r="G62" s="108" t="str">
        <f>CHOOSE(MONTH(F62),"Jan","Feb","Mar","Apr","May","Jun","Jul","Aug","Sep","Oct","Nov","Dec")</f>
        <v>May</v>
      </c>
      <c r="H62" s="54">
        <f ca="1">DATEDIF(F62,TODAY(),"Y")</f>
        <v>21</v>
      </c>
      <c r="I62" s="55" t="s">
        <v>257</v>
      </c>
      <c r="J62" s="56">
        <v>31910</v>
      </c>
      <c r="K62" s="57">
        <v>5</v>
      </c>
    </row>
    <row r="63" spans="1:16" x14ac:dyDescent="0.25">
      <c r="A63" s="42" t="s">
        <v>333</v>
      </c>
      <c r="B63" s="49" t="s">
        <v>251</v>
      </c>
      <c r="C63" s="42" t="s">
        <v>312</v>
      </c>
      <c r="D63" s="145">
        <v>286138219</v>
      </c>
      <c r="E63" s="42" t="s">
        <v>256</v>
      </c>
      <c r="F63" s="84">
        <v>35197</v>
      </c>
      <c r="G63" s="108" t="str">
        <f>CHOOSE(MONTH(F63),"Jan","Feb","Mar","Apr","May","Jun","Jul","Aug","Sep","Oct","Nov","Dec")</f>
        <v>May</v>
      </c>
      <c r="H63" s="54">
        <f ca="1">DATEDIF(F63,TODAY(),"Y")</f>
        <v>20</v>
      </c>
      <c r="I63" s="55" t="s">
        <v>276</v>
      </c>
      <c r="J63" s="56">
        <v>82120</v>
      </c>
      <c r="K63" s="57">
        <v>5</v>
      </c>
    </row>
    <row r="64" spans="1:16" x14ac:dyDescent="0.25">
      <c r="A64" s="42" t="s">
        <v>319</v>
      </c>
      <c r="B64" s="49" t="s">
        <v>285</v>
      </c>
      <c r="C64" s="42" t="s">
        <v>312</v>
      </c>
      <c r="D64" s="145">
        <v>549561117</v>
      </c>
      <c r="E64" s="42" t="s">
        <v>256</v>
      </c>
      <c r="F64" s="84">
        <v>35207</v>
      </c>
      <c r="G64" s="108" t="str">
        <f>CHOOSE(MONTH(F64),"Jan","Feb","Mar","Apr","May","Jun","Jul","Aug","Sep","Oct","Nov","Dec")</f>
        <v>May</v>
      </c>
      <c r="H64" s="54">
        <f ca="1">DATEDIF(F64,TODAY(),"Y")</f>
        <v>20</v>
      </c>
      <c r="I64" s="55" t="s">
        <v>267</v>
      </c>
      <c r="J64" s="56">
        <v>77580</v>
      </c>
      <c r="K64" s="57">
        <v>3</v>
      </c>
    </row>
    <row r="65" spans="1:14" x14ac:dyDescent="0.25">
      <c r="A65" s="42" t="s">
        <v>335</v>
      </c>
      <c r="B65" s="49" t="s">
        <v>285</v>
      </c>
      <c r="C65" s="42" t="s">
        <v>312</v>
      </c>
      <c r="D65" s="145">
        <v>920342399</v>
      </c>
      <c r="E65" s="42" t="s">
        <v>247</v>
      </c>
      <c r="F65" s="84">
        <v>35569</v>
      </c>
      <c r="G65" s="108" t="str">
        <f>CHOOSE(MONTH(F65),"Jan","Feb","Mar","Apr","May","Jun","Jul","Aug","Sep","Oct","Nov","Dec")</f>
        <v>May</v>
      </c>
      <c r="H65" s="54">
        <f ca="1">DATEDIF(F65,TODAY(),"Y")</f>
        <v>19</v>
      </c>
      <c r="I65" s="55"/>
      <c r="J65" s="56">
        <v>84200</v>
      </c>
      <c r="K65" s="57">
        <v>2</v>
      </c>
      <c r="M65" s="66"/>
      <c r="N65" s="78"/>
    </row>
    <row r="66" spans="1:14" x14ac:dyDescent="0.25">
      <c r="A66" s="42" t="s">
        <v>364</v>
      </c>
      <c r="B66" s="49" t="s">
        <v>266</v>
      </c>
      <c r="C66" s="42" t="s">
        <v>312</v>
      </c>
      <c r="D66" s="145">
        <v>545777239</v>
      </c>
      <c r="E66" s="42" t="s">
        <v>247</v>
      </c>
      <c r="F66" s="84">
        <v>35940</v>
      </c>
      <c r="G66" s="108" t="str">
        <f>CHOOSE(MONTH(F66),"Jan","Feb","Mar","Apr","May","Jun","Jul","Aug","Sep","Oct","Nov","Dec")</f>
        <v>May</v>
      </c>
      <c r="H66" s="54">
        <f ca="1">DATEDIF(F66,TODAY(),"Y")</f>
        <v>18</v>
      </c>
      <c r="I66" s="55"/>
      <c r="J66" s="56">
        <v>88000</v>
      </c>
      <c r="K66" s="57">
        <v>5</v>
      </c>
    </row>
    <row r="67" spans="1:14" x14ac:dyDescent="0.25">
      <c r="A67" s="42" t="s">
        <v>345</v>
      </c>
      <c r="B67" s="49" t="s">
        <v>285</v>
      </c>
      <c r="C67" s="42" t="s">
        <v>312</v>
      </c>
      <c r="D67" s="145">
        <v>853206631</v>
      </c>
      <c r="E67" s="42" t="s">
        <v>256</v>
      </c>
      <c r="F67" s="84">
        <v>37018</v>
      </c>
      <c r="G67" s="108" t="str">
        <f>CHOOSE(MONTH(F67),"Jan","Feb","Mar","Apr","May","Jun","Jul","Aug","Sep","Oct","Nov","Dec")</f>
        <v>May</v>
      </c>
      <c r="H67" s="54">
        <f ca="1">DATEDIF(F67,TODAY(),"Y")</f>
        <v>15</v>
      </c>
      <c r="I67" s="55" t="s">
        <v>283</v>
      </c>
      <c r="J67" s="56">
        <v>28650</v>
      </c>
      <c r="K67" s="57">
        <v>4</v>
      </c>
    </row>
    <row r="68" spans="1:14" x14ac:dyDescent="0.25">
      <c r="A68" s="42" t="s">
        <v>342</v>
      </c>
      <c r="B68" s="49" t="s">
        <v>285</v>
      </c>
      <c r="C68" s="42" t="s">
        <v>312</v>
      </c>
      <c r="D68" s="145">
        <v>296746447</v>
      </c>
      <c r="E68" s="42" t="s">
        <v>247</v>
      </c>
      <c r="F68" s="84">
        <v>39959</v>
      </c>
      <c r="G68" s="108" t="str">
        <f>CHOOSE(MONTH(F68),"Jan","Feb","Mar","Apr","May","Jun","Jul","Aug","Sep","Oct","Nov","Dec")</f>
        <v>May</v>
      </c>
      <c r="H68" s="54">
        <f ca="1">DATEDIF(F68,TODAY(),"Y")</f>
        <v>7</v>
      </c>
      <c r="I68" s="55"/>
      <c r="J68" s="56">
        <v>79460</v>
      </c>
      <c r="K68" s="57">
        <v>5</v>
      </c>
    </row>
    <row r="69" spans="1:14" x14ac:dyDescent="0.25">
      <c r="A69" s="42" t="s">
        <v>328</v>
      </c>
      <c r="B69" s="49" t="s">
        <v>245</v>
      </c>
      <c r="C69" s="42" t="s">
        <v>312</v>
      </c>
      <c r="D69" s="145">
        <v>895259368</v>
      </c>
      <c r="E69" s="42" t="s">
        <v>256</v>
      </c>
      <c r="F69" s="84">
        <v>35965</v>
      </c>
      <c r="G69" s="108" t="str">
        <f>CHOOSE(MONTH(F69),"Jan","Feb","Mar","Apr","May","Jun","Jul","Aug","Sep","Oct","Nov","Dec")</f>
        <v>Jun</v>
      </c>
      <c r="H69" s="79">
        <f ca="1">DATEDIF(F69,TODAY(),"Y")</f>
        <v>18</v>
      </c>
      <c r="I69" s="80" t="s">
        <v>267</v>
      </c>
      <c r="J69" s="56">
        <v>34780</v>
      </c>
      <c r="K69" s="57">
        <v>4</v>
      </c>
    </row>
    <row r="70" spans="1:14" x14ac:dyDescent="0.25">
      <c r="A70" s="42" t="s">
        <v>331</v>
      </c>
      <c r="B70" s="49" t="s">
        <v>285</v>
      </c>
      <c r="C70" s="42" t="s">
        <v>312</v>
      </c>
      <c r="D70" s="145">
        <v>442290283</v>
      </c>
      <c r="E70" s="42" t="s">
        <v>256</v>
      </c>
      <c r="F70" s="84">
        <v>37785</v>
      </c>
      <c r="G70" s="108" t="str">
        <f>CHOOSE(MONTH(F70),"Jan","Feb","Mar","Apr","May","Jun","Jul","Aug","Sep","Oct","Nov","Dec")</f>
        <v>Jun</v>
      </c>
      <c r="H70" s="54">
        <f ca="1">DATEDIF(F70,TODAY(),"Y")</f>
        <v>13</v>
      </c>
      <c r="I70" s="55" t="s">
        <v>283</v>
      </c>
      <c r="J70" s="56">
        <v>87280</v>
      </c>
      <c r="K70" s="57">
        <v>4</v>
      </c>
    </row>
    <row r="71" spans="1:14" x14ac:dyDescent="0.25">
      <c r="A71" s="42" t="s">
        <v>330</v>
      </c>
      <c r="B71" s="49" t="s">
        <v>245</v>
      </c>
      <c r="C71" s="42" t="s">
        <v>312</v>
      </c>
      <c r="D71" s="145">
        <v>159410881</v>
      </c>
      <c r="E71" s="42" t="s">
        <v>256</v>
      </c>
      <c r="F71" s="84">
        <v>33786</v>
      </c>
      <c r="G71" s="108" t="str">
        <f>CHOOSE(MONTH(F71),"Jan","Feb","Mar","Apr","May","Jun","Jul","Aug","Sep","Oct","Nov","Dec")</f>
        <v>Jul</v>
      </c>
      <c r="H71" s="54">
        <f ca="1">DATEDIF(F71,TODAY(),"Y")</f>
        <v>24</v>
      </c>
      <c r="I71" s="55" t="s">
        <v>257</v>
      </c>
      <c r="J71" s="56">
        <v>71150</v>
      </c>
      <c r="K71" s="57">
        <v>2</v>
      </c>
    </row>
    <row r="72" spans="1:14" x14ac:dyDescent="0.25">
      <c r="A72" s="42" t="s">
        <v>355</v>
      </c>
      <c r="B72" s="49" t="s">
        <v>271</v>
      </c>
      <c r="C72" s="42" t="s">
        <v>312</v>
      </c>
      <c r="D72" s="145">
        <v>630441083</v>
      </c>
      <c r="E72" s="42" t="s">
        <v>261</v>
      </c>
      <c r="F72" s="84">
        <v>34166</v>
      </c>
      <c r="G72" s="108" t="str">
        <f>CHOOSE(MONTH(F72),"Jan","Feb","Mar","Apr","May","Jun","Jul","Aug","Sep","Oct","Nov","Dec")</f>
        <v>Jul</v>
      </c>
      <c r="H72" s="54">
        <f ca="1">DATEDIF(F72,TODAY(),"Y")</f>
        <v>23</v>
      </c>
      <c r="I72" s="55" t="s">
        <v>257</v>
      </c>
      <c r="J72" s="56">
        <v>26890</v>
      </c>
      <c r="K72" s="57">
        <v>3</v>
      </c>
    </row>
    <row r="73" spans="1:14" x14ac:dyDescent="0.25">
      <c r="A73" s="42" t="s">
        <v>360</v>
      </c>
      <c r="B73" s="49" t="s">
        <v>285</v>
      </c>
      <c r="C73" s="42" t="s">
        <v>312</v>
      </c>
      <c r="D73" s="145">
        <v>616657435</v>
      </c>
      <c r="E73" s="42" t="s">
        <v>247</v>
      </c>
      <c r="F73" s="84">
        <v>35255</v>
      </c>
      <c r="G73" s="108" t="str">
        <f>CHOOSE(MONTH(F73),"Jan","Feb","Mar","Apr","May","Jun","Jul","Aug","Sep","Oct","Nov","Dec")</f>
        <v>Jul</v>
      </c>
      <c r="H73" s="54">
        <f ca="1">DATEDIF(F73,TODAY(),"Y")</f>
        <v>20</v>
      </c>
      <c r="I73" s="55"/>
      <c r="J73" s="56">
        <v>89310</v>
      </c>
      <c r="K73" s="57">
        <v>5</v>
      </c>
    </row>
    <row r="74" spans="1:14" x14ac:dyDescent="0.25">
      <c r="A74" s="42" t="s">
        <v>325</v>
      </c>
      <c r="B74" s="49" t="s">
        <v>285</v>
      </c>
      <c r="C74" s="42" t="s">
        <v>312</v>
      </c>
      <c r="D74" s="145">
        <v>847432317</v>
      </c>
      <c r="E74" s="42" t="s">
        <v>261</v>
      </c>
      <c r="F74" s="84">
        <v>33472</v>
      </c>
      <c r="G74" s="108" t="str">
        <f>CHOOSE(MONTH(F74),"Jan","Feb","Mar","Apr","May","Jun","Jul","Aug","Sep","Oct","Nov","Dec")</f>
        <v>Aug</v>
      </c>
      <c r="H74" s="54">
        <f ca="1">DATEDIF(F74,TODAY(),"Y")</f>
        <v>25</v>
      </c>
      <c r="I74" s="55" t="s">
        <v>262</v>
      </c>
      <c r="J74" s="56">
        <v>13800</v>
      </c>
      <c r="K74" s="57">
        <v>3</v>
      </c>
    </row>
    <row r="75" spans="1:14" x14ac:dyDescent="0.25">
      <c r="A75" s="42" t="s">
        <v>357</v>
      </c>
      <c r="B75" s="49" t="s">
        <v>285</v>
      </c>
      <c r="C75" s="42" t="s">
        <v>312</v>
      </c>
      <c r="D75" s="145">
        <v>252960359</v>
      </c>
      <c r="E75" s="42" t="s">
        <v>261</v>
      </c>
      <c r="F75" s="84">
        <v>34548</v>
      </c>
      <c r="G75" s="108" t="str">
        <f>CHOOSE(MONTH(F75),"Jan","Feb","Mar","Apr","May","Jun","Jul","Aug","Sep","Oct","Nov","Dec")</f>
        <v>Aug</v>
      </c>
      <c r="H75" s="54">
        <f ca="1">DATEDIF(F75,TODAY(),"Y")</f>
        <v>22</v>
      </c>
      <c r="I75" s="55" t="s">
        <v>276</v>
      </c>
      <c r="J75" s="56">
        <v>38920</v>
      </c>
      <c r="K75" s="57">
        <v>4</v>
      </c>
    </row>
    <row r="76" spans="1:14" x14ac:dyDescent="0.25">
      <c r="A76" s="42" t="s">
        <v>369</v>
      </c>
      <c r="B76" s="49" t="s">
        <v>245</v>
      </c>
      <c r="C76" s="42" t="s">
        <v>312</v>
      </c>
      <c r="D76" s="145">
        <v>965150785</v>
      </c>
      <c r="E76" s="42" t="s">
        <v>256</v>
      </c>
      <c r="F76" s="84">
        <v>35667</v>
      </c>
      <c r="G76" s="108" t="str">
        <f>CHOOSE(MONTH(F76),"Jan","Feb","Mar","Apr","May","Jun","Jul","Aug","Sep","Oct","Nov","Dec")</f>
        <v>Aug</v>
      </c>
      <c r="H76" s="54">
        <f ca="1">DATEDIF(F76,TODAY(),"Y")</f>
        <v>19</v>
      </c>
      <c r="I76" s="55" t="s">
        <v>257</v>
      </c>
      <c r="J76" s="56">
        <v>40920</v>
      </c>
      <c r="K76" s="57">
        <v>4</v>
      </c>
    </row>
    <row r="77" spans="1:14" x14ac:dyDescent="0.25">
      <c r="A77" s="42" t="s">
        <v>317</v>
      </c>
      <c r="B77" s="49" t="s">
        <v>280</v>
      </c>
      <c r="C77" s="42" t="s">
        <v>312</v>
      </c>
      <c r="D77" s="145">
        <v>871044916</v>
      </c>
      <c r="E77" s="42" t="s">
        <v>247</v>
      </c>
      <c r="F77" s="84">
        <v>36038</v>
      </c>
      <c r="G77" s="108" t="str">
        <f>CHOOSE(MONTH(F77),"Jan","Feb","Mar","Apr","May","Jun","Jul","Aug","Sep","Oct","Nov","Dec")</f>
        <v>Aug</v>
      </c>
      <c r="H77" s="54">
        <f ca="1">DATEDIF(F77,TODAY(),"Y")</f>
        <v>18</v>
      </c>
      <c r="I77" s="55"/>
      <c r="J77" s="56">
        <v>30340</v>
      </c>
      <c r="K77" s="57">
        <v>3</v>
      </c>
    </row>
    <row r="78" spans="1:14" x14ac:dyDescent="0.25">
      <c r="A78" s="42" t="s">
        <v>341</v>
      </c>
      <c r="B78" s="49" t="s">
        <v>245</v>
      </c>
      <c r="C78" s="42" t="s">
        <v>312</v>
      </c>
      <c r="D78" s="145">
        <v>938922185</v>
      </c>
      <c r="E78" s="42" t="s">
        <v>252</v>
      </c>
      <c r="F78" s="84">
        <v>36059</v>
      </c>
      <c r="G78" s="108" t="str">
        <f>CHOOSE(MONTH(F78),"Jan","Feb","Mar","Apr","May","Jun","Jul","Aug","Sep","Oct","Nov","Dec")</f>
        <v>Sep</v>
      </c>
      <c r="H78" s="54">
        <f ca="1">DATEDIF(F78,TODAY(),"Y")</f>
        <v>18</v>
      </c>
      <c r="I78" s="55"/>
      <c r="J78" s="56">
        <v>18500</v>
      </c>
      <c r="K78" s="57">
        <v>5</v>
      </c>
    </row>
    <row r="79" spans="1:14" x14ac:dyDescent="0.25">
      <c r="A79" s="42" t="s">
        <v>334</v>
      </c>
      <c r="B79" s="49" t="s">
        <v>245</v>
      </c>
      <c r="C79" s="42" t="s">
        <v>312</v>
      </c>
      <c r="D79" s="145">
        <v>688525288</v>
      </c>
      <c r="E79" s="42" t="s">
        <v>247</v>
      </c>
      <c r="F79" s="84">
        <v>38970</v>
      </c>
      <c r="G79" s="108" t="str">
        <f>CHOOSE(MONTH(F79),"Jan","Feb","Mar","Apr","May","Jun","Jul","Aug","Sep","Oct","Nov","Dec")</f>
        <v>Sep</v>
      </c>
      <c r="H79" s="54">
        <f ca="1">DATEDIF(F79,TODAY(),"Y")</f>
        <v>10</v>
      </c>
      <c r="I79" s="55"/>
      <c r="J79" s="56">
        <v>83070</v>
      </c>
      <c r="K79" s="57">
        <v>3</v>
      </c>
    </row>
    <row r="80" spans="1:14" x14ac:dyDescent="0.25">
      <c r="A80" s="42" t="s">
        <v>351</v>
      </c>
      <c r="B80" s="49" t="s">
        <v>271</v>
      </c>
      <c r="C80" s="42" t="s">
        <v>312</v>
      </c>
      <c r="D80" s="145">
        <v>904366440</v>
      </c>
      <c r="E80" s="42" t="s">
        <v>256</v>
      </c>
      <c r="F80" s="84">
        <v>40085</v>
      </c>
      <c r="G80" s="108" t="str">
        <f>CHOOSE(MONTH(F80),"Jan","Feb","Mar","Apr","May","Jun","Jul","Aug","Sep","Oct","Nov","Dec")</f>
        <v>Sep</v>
      </c>
      <c r="H80" s="54">
        <f ca="1">DATEDIF(F80,TODAY(),"Y")</f>
        <v>7</v>
      </c>
      <c r="I80" s="55" t="s">
        <v>257</v>
      </c>
      <c r="J80" s="56">
        <v>41490</v>
      </c>
      <c r="K80" s="57">
        <v>5</v>
      </c>
    </row>
    <row r="81" spans="1:14" x14ac:dyDescent="0.25">
      <c r="A81" s="42" t="s">
        <v>343</v>
      </c>
      <c r="B81" s="49" t="s">
        <v>271</v>
      </c>
      <c r="C81" s="42" t="s">
        <v>312</v>
      </c>
      <c r="D81" s="145">
        <v>579735538</v>
      </c>
      <c r="E81" s="42" t="s">
        <v>256</v>
      </c>
      <c r="F81" s="84">
        <v>33527</v>
      </c>
      <c r="G81" s="108" t="str">
        <f>CHOOSE(MONTH(F81),"Jan","Feb","Mar","Apr","May","Jun","Jul","Aug","Sep","Oct","Nov","Dec")</f>
        <v>Oct</v>
      </c>
      <c r="H81" s="54">
        <f ca="1">DATEDIF(F81,TODAY(),"Y")</f>
        <v>25</v>
      </c>
      <c r="I81" s="55" t="s">
        <v>283</v>
      </c>
      <c r="J81" s="56">
        <v>85920</v>
      </c>
      <c r="K81" s="57">
        <v>4</v>
      </c>
    </row>
    <row r="82" spans="1:14" x14ac:dyDescent="0.25">
      <c r="A82" s="42" t="s">
        <v>350</v>
      </c>
      <c r="B82" s="49" t="s">
        <v>285</v>
      </c>
      <c r="C82" s="42" t="s">
        <v>312</v>
      </c>
      <c r="D82" s="145">
        <v>435153305</v>
      </c>
      <c r="E82" s="42" t="s">
        <v>256</v>
      </c>
      <c r="F82" s="84">
        <v>33895</v>
      </c>
      <c r="G82" s="108" t="str">
        <f>CHOOSE(MONTH(F82),"Jan","Feb","Mar","Apr","May","Jun","Jul","Aug","Sep","Oct","Nov","Dec")</f>
        <v>Oct</v>
      </c>
      <c r="H82" s="54">
        <f ca="1">DATEDIF(F82,TODAY(),"Y")</f>
        <v>24</v>
      </c>
      <c r="I82" s="55" t="s">
        <v>283</v>
      </c>
      <c r="J82" s="56">
        <v>71670</v>
      </c>
      <c r="K82" s="57">
        <v>4</v>
      </c>
    </row>
    <row r="83" spans="1:14" x14ac:dyDescent="0.25">
      <c r="A83" s="42" t="s">
        <v>321</v>
      </c>
      <c r="B83" s="49" t="s">
        <v>266</v>
      </c>
      <c r="C83" s="42" t="s">
        <v>312</v>
      </c>
      <c r="D83" s="145">
        <v>127814310</v>
      </c>
      <c r="E83" s="42" t="s">
        <v>256</v>
      </c>
      <c r="F83" s="84">
        <v>34996</v>
      </c>
      <c r="G83" s="108" t="str">
        <f>CHOOSE(MONTH(F83),"Jan","Feb","Mar","Apr","May","Jun","Jul","Aug","Sep","Oct","Nov","Dec")</f>
        <v>Oct</v>
      </c>
      <c r="H83" s="54">
        <f ca="1">DATEDIF(F83,TODAY(),"Y")</f>
        <v>21</v>
      </c>
      <c r="I83" s="55" t="s">
        <v>257</v>
      </c>
      <c r="J83" s="56">
        <v>67890</v>
      </c>
      <c r="K83" s="57">
        <v>5</v>
      </c>
    </row>
    <row r="84" spans="1:14" x14ac:dyDescent="0.25">
      <c r="A84" s="42" t="s">
        <v>348</v>
      </c>
      <c r="B84" s="49" t="s">
        <v>245</v>
      </c>
      <c r="C84" s="42" t="s">
        <v>312</v>
      </c>
      <c r="D84" s="145">
        <v>477394556</v>
      </c>
      <c r="E84" s="42" t="s">
        <v>247</v>
      </c>
      <c r="F84" s="84">
        <v>36087</v>
      </c>
      <c r="G84" s="108" t="str">
        <f>CHOOSE(MONTH(F84),"Jan","Feb","Mar","Apr","May","Jun","Jul","Aug","Sep","Oct","Nov","Dec")</f>
        <v>Oct</v>
      </c>
      <c r="H84" s="54">
        <f ca="1">DATEDIF(F84,TODAY(),"Y")</f>
        <v>18</v>
      </c>
      <c r="I84" s="55"/>
      <c r="J84" s="56">
        <v>76930</v>
      </c>
      <c r="K84" s="57">
        <v>1</v>
      </c>
    </row>
    <row r="85" spans="1:14" x14ac:dyDescent="0.25">
      <c r="A85" s="42" t="s">
        <v>322</v>
      </c>
      <c r="B85" s="49" t="s">
        <v>271</v>
      </c>
      <c r="C85" s="42" t="s">
        <v>312</v>
      </c>
      <c r="D85" s="145">
        <v>305946387</v>
      </c>
      <c r="E85" s="42" t="s">
        <v>256</v>
      </c>
      <c r="F85" s="84">
        <v>37176</v>
      </c>
      <c r="G85" s="108" t="str">
        <f>CHOOSE(MONTH(F85),"Jan","Feb","Mar","Apr","May","Jun","Jul","Aug","Sep","Oct","Nov","Dec")</f>
        <v>Oct</v>
      </c>
      <c r="H85" s="54">
        <f ca="1">DATEDIF(F85,TODAY(),"Y")</f>
        <v>15</v>
      </c>
      <c r="I85" s="55" t="s">
        <v>267</v>
      </c>
      <c r="J85" s="56">
        <v>62790</v>
      </c>
      <c r="K85" s="57">
        <v>2</v>
      </c>
    </row>
    <row r="86" spans="1:14" x14ac:dyDescent="0.25">
      <c r="A86" s="42" t="s">
        <v>370</v>
      </c>
      <c r="B86" s="49" t="s">
        <v>285</v>
      </c>
      <c r="C86" s="42" t="s">
        <v>312</v>
      </c>
      <c r="D86" s="145">
        <v>637534888</v>
      </c>
      <c r="E86" s="42" t="s">
        <v>247</v>
      </c>
      <c r="F86" s="84">
        <v>34651</v>
      </c>
      <c r="G86" s="108" t="str">
        <f>CHOOSE(MONTH(F86),"Jan","Feb","Mar","Apr","May","Jun","Jul","Aug","Sep","Oct","Nov","Dec")</f>
        <v>Nov</v>
      </c>
      <c r="H86" s="54">
        <f ca="1">DATEDIF(F86,TODAY(),"Y")</f>
        <v>21</v>
      </c>
      <c r="I86" s="55"/>
      <c r="J86" s="56">
        <v>46670</v>
      </c>
      <c r="K86" s="57">
        <v>3</v>
      </c>
    </row>
    <row r="87" spans="1:14" x14ac:dyDescent="0.25">
      <c r="A87" s="42" t="s">
        <v>332</v>
      </c>
      <c r="B87" s="49" t="s">
        <v>245</v>
      </c>
      <c r="C87" s="42" t="s">
        <v>312</v>
      </c>
      <c r="D87" s="145">
        <v>630247971</v>
      </c>
      <c r="E87" s="42" t="s">
        <v>247</v>
      </c>
      <c r="F87" s="84">
        <v>36470</v>
      </c>
      <c r="G87" s="108" t="str">
        <f>CHOOSE(MONTH(F87),"Jan","Feb","Mar","Apr","May","Jun","Jul","Aug","Sep","Oct","Nov","Dec")</f>
        <v>Nov</v>
      </c>
      <c r="H87" s="54">
        <f ca="1">DATEDIF(F87,TODAY(),"Y")</f>
        <v>17</v>
      </c>
      <c r="I87" s="55"/>
      <c r="J87" s="56">
        <v>23560</v>
      </c>
      <c r="K87" s="57">
        <v>3</v>
      </c>
    </row>
    <row r="88" spans="1:14" x14ac:dyDescent="0.25">
      <c r="A88" s="42" t="s">
        <v>339</v>
      </c>
      <c r="B88" s="49" t="s">
        <v>245</v>
      </c>
      <c r="C88" s="42" t="s">
        <v>312</v>
      </c>
      <c r="D88" s="145">
        <v>254819974</v>
      </c>
      <c r="E88" s="42" t="s">
        <v>252</v>
      </c>
      <c r="F88" s="84">
        <v>36487</v>
      </c>
      <c r="G88" s="108" t="str">
        <f>CHOOSE(MONTH(F88),"Jan","Feb","Mar","Apr","May","Jun","Jul","Aug","Sep","Oct","Nov","Dec")</f>
        <v>Nov</v>
      </c>
      <c r="H88" s="54">
        <f ca="1">DATEDIF(F88,TODAY(),"Y")</f>
        <v>16</v>
      </c>
      <c r="I88" s="55"/>
      <c r="J88" s="56">
        <v>33056</v>
      </c>
      <c r="K88" s="57">
        <v>5</v>
      </c>
    </row>
    <row r="89" spans="1:14" x14ac:dyDescent="0.25">
      <c r="A89" s="42" t="s">
        <v>313</v>
      </c>
      <c r="B89" s="49" t="s">
        <v>245</v>
      </c>
      <c r="C89" s="42" t="s">
        <v>312</v>
      </c>
      <c r="D89" s="145">
        <v>393790481</v>
      </c>
      <c r="E89" s="42" t="s">
        <v>247</v>
      </c>
      <c r="F89" s="84">
        <v>39040</v>
      </c>
      <c r="G89" s="108" t="str">
        <f>CHOOSE(MONTH(F89),"Jan","Feb","Mar","Apr","May","Jun","Jul","Aug","Sep","Oct","Nov","Dec")</f>
        <v>Nov</v>
      </c>
      <c r="H89" s="54">
        <f ca="1">DATEDIF(F89,TODAY(),"Y")</f>
        <v>9</v>
      </c>
      <c r="I89" s="55"/>
      <c r="J89" s="56">
        <v>62150</v>
      </c>
      <c r="K89" s="57">
        <v>4</v>
      </c>
    </row>
    <row r="90" spans="1:14" x14ac:dyDescent="0.25">
      <c r="A90" s="42" t="s">
        <v>320</v>
      </c>
      <c r="B90" s="49" t="s">
        <v>271</v>
      </c>
      <c r="C90" s="42" t="s">
        <v>312</v>
      </c>
      <c r="D90" s="145">
        <v>140791356</v>
      </c>
      <c r="E90" s="42" t="s">
        <v>256</v>
      </c>
      <c r="F90" s="84">
        <v>40501</v>
      </c>
      <c r="G90" s="108" t="str">
        <f>CHOOSE(MONTH(F90),"Jan","Feb","Mar","Apr","May","Jun","Jul","Aug","Sep","Oct","Nov","Dec")</f>
        <v>Nov</v>
      </c>
      <c r="H90" s="54">
        <f ca="1">DATEDIF(F90,TODAY(),"Y")</f>
        <v>5</v>
      </c>
      <c r="I90" s="55" t="s">
        <v>267</v>
      </c>
      <c r="J90" s="56">
        <v>77820</v>
      </c>
      <c r="K90" s="57">
        <v>3</v>
      </c>
    </row>
    <row r="91" spans="1:14" x14ac:dyDescent="0.25">
      <c r="A91" s="42" t="s">
        <v>324</v>
      </c>
      <c r="B91" s="49" t="s">
        <v>271</v>
      </c>
      <c r="C91" s="42" t="s">
        <v>312</v>
      </c>
      <c r="D91" s="145">
        <v>841728513</v>
      </c>
      <c r="E91" s="42" t="s">
        <v>247</v>
      </c>
      <c r="F91" s="84">
        <v>33228</v>
      </c>
      <c r="G91" s="108" t="str">
        <f>CHOOSE(MONTH(F91),"Jan","Feb","Mar","Apr","May","Jun","Jul","Aug","Sep","Oct","Nov","Dec")</f>
        <v>Dec</v>
      </c>
      <c r="H91" s="54">
        <f ca="1">DATEDIF(F91,TODAY(),"Y")</f>
        <v>25</v>
      </c>
      <c r="I91" s="55"/>
      <c r="J91" s="56">
        <v>42940</v>
      </c>
      <c r="K91" s="57">
        <v>1</v>
      </c>
    </row>
    <row r="92" spans="1:14" x14ac:dyDescent="0.25">
      <c r="A92" s="42" t="s">
        <v>327</v>
      </c>
      <c r="B92" s="49" t="s">
        <v>271</v>
      </c>
      <c r="C92" s="42" t="s">
        <v>312</v>
      </c>
      <c r="D92" s="145">
        <v>530627144</v>
      </c>
      <c r="E92" s="42" t="s">
        <v>256</v>
      </c>
      <c r="F92" s="84">
        <v>33575</v>
      </c>
      <c r="G92" s="108" t="str">
        <f>CHOOSE(MONTH(F92),"Jan","Feb","Mar","Apr","May","Jun","Jul","Aug","Sep","Oct","Nov","Dec")</f>
        <v>Dec</v>
      </c>
      <c r="H92" s="54">
        <f ca="1">DATEDIF(F92,TODAY(),"Y")</f>
        <v>24</v>
      </c>
      <c r="I92" s="55" t="s">
        <v>262</v>
      </c>
      <c r="J92" s="56">
        <v>61400</v>
      </c>
      <c r="K92" s="57">
        <v>5</v>
      </c>
    </row>
    <row r="93" spans="1:14" x14ac:dyDescent="0.25">
      <c r="A93" s="42" t="s">
        <v>316</v>
      </c>
      <c r="B93" s="49" t="s">
        <v>285</v>
      </c>
      <c r="C93" s="42" t="s">
        <v>312</v>
      </c>
      <c r="D93" s="145">
        <v>839253160</v>
      </c>
      <c r="E93" s="42" t="s">
        <v>256</v>
      </c>
      <c r="F93" s="84">
        <v>36506</v>
      </c>
      <c r="G93" s="108" t="str">
        <f>CHOOSE(MONTH(F93),"Jan","Feb","Mar","Apr","May","Jun","Jul","Aug","Sep","Oct","Nov","Dec")</f>
        <v>Dec</v>
      </c>
      <c r="H93" s="54">
        <f ca="1">DATEDIF(F93,TODAY(),"Y")</f>
        <v>16</v>
      </c>
      <c r="I93" s="55" t="s">
        <v>283</v>
      </c>
      <c r="J93" s="56">
        <v>32100</v>
      </c>
      <c r="K93" s="57">
        <v>1</v>
      </c>
      <c r="N93" s="78"/>
    </row>
    <row r="94" spans="1:14" x14ac:dyDescent="0.25">
      <c r="A94" s="42" t="s">
        <v>337</v>
      </c>
      <c r="B94" s="49" t="s">
        <v>271</v>
      </c>
      <c r="C94" s="42" t="s">
        <v>312</v>
      </c>
      <c r="D94" s="145">
        <v>680390162</v>
      </c>
      <c r="E94" s="42" t="s">
        <v>256</v>
      </c>
      <c r="F94" s="84">
        <v>37241</v>
      </c>
      <c r="G94" s="108" t="str">
        <f>CHOOSE(MONTH(F94),"Jan","Feb","Mar","Apr","May","Jun","Jul","Aug","Sep","Oct","Nov","Dec")</f>
        <v>Dec</v>
      </c>
      <c r="H94" s="54">
        <f ca="1">DATEDIF(F94,TODAY(),"Y")</f>
        <v>14</v>
      </c>
      <c r="I94" s="55" t="s">
        <v>257</v>
      </c>
      <c r="J94" s="56">
        <v>71950</v>
      </c>
      <c r="K94" s="57">
        <v>5</v>
      </c>
    </row>
    <row r="95" spans="1:14" x14ac:dyDescent="0.25">
      <c r="A95" s="42" t="s">
        <v>311</v>
      </c>
      <c r="B95" s="49" t="s">
        <v>245</v>
      </c>
      <c r="C95" s="42" t="s">
        <v>312</v>
      </c>
      <c r="D95" s="145">
        <v>125383324</v>
      </c>
      <c r="E95" s="42" t="s">
        <v>256</v>
      </c>
      <c r="F95" s="84">
        <v>37960</v>
      </c>
      <c r="G95" s="108" t="str">
        <f>CHOOSE(MONTH(F95),"Jan","Feb","Mar","Apr","May","Jun","Jul","Aug","Sep","Oct","Nov","Dec")</f>
        <v>Dec</v>
      </c>
      <c r="H95" s="54">
        <f ca="1">DATEDIF(F95,TODAY(),"Y")</f>
        <v>12</v>
      </c>
      <c r="I95" s="55" t="s">
        <v>257</v>
      </c>
      <c r="J95" s="56">
        <v>66890</v>
      </c>
      <c r="K95" s="57">
        <v>5</v>
      </c>
    </row>
    <row r="96" spans="1:14" x14ac:dyDescent="0.25">
      <c r="A96" s="42" t="s">
        <v>362</v>
      </c>
      <c r="B96" s="49" t="s">
        <v>266</v>
      </c>
      <c r="C96" s="42" t="s">
        <v>312</v>
      </c>
      <c r="D96" s="145">
        <v>305864390</v>
      </c>
      <c r="E96" s="42" t="s">
        <v>261</v>
      </c>
      <c r="F96" s="84">
        <v>39802</v>
      </c>
      <c r="G96" s="108" t="str">
        <f>CHOOSE(MONTH(F96),"Jan","Feb","Mar","Apr","May","Jun","Jul","Aug","Sep","Oct","Nov","Dec")</f>
        <v>Dec</v>
      </c>
      <c r="H96" s="54">
        <f ca="1">DATEDIF(F96,TODAY(),"Y")</f>
        <v>7</v>
      </c>
      <c r="I96" s="55" t="s">
        <v>276</v>
      </c>
      <c r="J96" s="56">
        <v>22535</v>
      </c>
      <c r="K96" s="57">
        <v>3</v>
      </c>
    </row>
    <row r="97" spans="1:14" x14ac:dyDescent="0.25">
      <c r="A97" s="42" t="s">
        <v>373</v>
      </c>
      <c r="B97" s="49" t="s">
        <v>271</v>
      </c>
      <c r="C97" s="42" t="s">
        <v>372</v>
      </c>
      <c r="D97" s="145">
        <v>278532524</v>
      </c>
      <c r="E97" s="42" t="s">
        <v>256</v>
      </c>
      <c r="F97" s="84">
        <v>38397</v>
      </c>
      <c r="G97" s="108" t="str">
        <f>CHOOSE(MONTH(F97),"Jan","Feb","Mar","Apr","May","Jun","Jul","Aug","Sep","Oct","Nov","Dec")</f>
        <v>Feb</v>
      </c>
      <c r="H97" s="54">
        <f ca="1">DATEDIF(F97,TODAY(),"Y")</f>
        <v>11</v>
      </c>
      <c r="I97" s="55" t="s">
        <v>257</v>
      </c>
      <c r="J97" s="56">
        <v>36630</v>
      </c>
      <c r="K97" s="57">
        <v>4</v>
      </c>
    </row>
    <row r="98" spans="1:14" x14ac:dyDescent="0.25">
      <c r="A98" s="42" t="s">
        <v>374</v>
      </c>
      <c r="B98" s="49" t="s">
        <v>285</v>
      </c>
      <c r="C98" s="42" t="s">
        <v>372</v>
      </c>
      <c r="D98" s="145">
        <v>530077758</v>
      </c>
      <c r="E98" s="42" t="s">
        <v>247</v>
      </c>
      <c r="F98" s="84">
        <v>38755</v>
      </c>
      <c r="G98" s="108" t="str">
        <f>CHOOSE(MONTH(F98),"Jan","Feb","Mar","Apr","May","Jun","Jul","Aug","Sep","Oct","Nov","Dec")</f>
        <v>Feb</v>
      </c>
      <c r="H98" s="54">
        <f ca="1">DATEDIF(F98,TODAY(),"Y")</f>
        <v>10</v>
      </c>
      <c r="I98" s="55"/>
      <c r="J98" s="56">
        <v>78860</v>
      </c>
      <c r="K98" s="57">
        <v>2</v>
      </c>
    </row>
    <row r="99" spans="1:14" x14ac:dyDescent="0.25">
      <c r="A99" s="42" t="s">
        <v>377</v>
      </c>
      <c r="B99" s="49" t="s">
        <v>271</v>
      </c>
      <c r="C99" s="42" t="s">
        <v>372</v>
      </c>
      <c r="D99" s="145">
        <v>303231204</v>
      </c>
      <c r="E99" s="42" t="s">
        <v>247</v>
      </c>
      <c r="F99" s="84">
        <v>39529</v>
      </c>
      <c r="G99" s="108" t="str">
        <f>CHOOSE(MONTH(F99),"Jan","Feb","Mar","Apr","May","Jun","Jul","Aug","Sep","Oct","Nov","Dec")</f>
        <v>Mar</v>
      </c>
      <c r="H99" s="54">
        <f ca="1">DATEDIF(F99,TODAY(),"Y")</f>
        <v>8</v>
      </c>
      <c r="I99" s="55"/>
      <c r="J99" s="56">
        <v>35620</v>
      </c>
      <c r="K99" s="57">
        <v>4</v>
      </c>
    </row>
    <row r="100" spans="1:14" x14ac:dyDescent="0.25">
      <c r="A100" s="42" t="s">
        <v>378</v>
      </c>
      <c r="B100" s="49" t="s">
        <v>285</v>
      </c>
      <c r="C100" s="42" t="s">
        <v>372</v>
      </c>
      <c r="D100" s="145">
        <v>727350623</v>
      </c>
      <c r="E100" s="42" t="s">
        <v>247</v>
      </c>
      <c r="F100" s="106">
        <v>40253</v>
      </c>
      <c r="G100" s="108" t="str">
        <f>CHOOSE(MONTH(F100),"Jan","Feb","Mar","Apr","May","Jun","Jul","Aug","Sep","Oct","Nov","Dec")</f>
        <v>Mar</v>
      </c>
      <c r="H100" s="54">
        <f ca="1">DATEDIF(F100,TODAY(),"Y")</f>
        <v>6</v>
      </c>
      <c r="I100" s="55"/>
      <c r="J100" s="56">
        <v>59350</v>
      </c>
      <c r="K100" s="57">
        <v>5</v>
      </c>
    </row>
    <row r="101" spans="1:14" x14ac:dyDescent="0.25">
      <c r="A101" s="42" t="s">
        <v>376</v>
      </c>
      <c r="B101" s="49" t="s">
        <v>285</v>
      </c>
      <c r="C101" s="42" t="s">
        <v>372</v>
      </c>
      <c r="D101" s="145">
        <v>842985832</v>
      </c>
      <c r="E101" s="42" t="s">
        <v>256</v>
      </c>
      <c r="F101" s="84">
        <v>39923</v>
      </c>
      <c r="G101" s="108" t="str">
        <f>CHOOSE(MONTH(F101),"Jan","Feb","Mar","Apr","May","Jun","Jul","Aug","Sep","Oct","Nov","Dec")</f>
        <v>Apr</v>
      </c>
      <c r="H101" s="54">
        <f ca="1">DATEDIF(F101,TODAY(),"Y")</f>
        <v>7</v>
      </c>
      <c r="I101" s="55" t="s">
        <v>257</v>
      </c>
      <c r="J101" s="56">
        <v>76440</v>
      </c>
      <c r="K101" s="57">
        <v>3</v>
      </c>
    </row>
    <row r="102" spans="1:14" x14ac:dyDescent="0.25">
      <c r="A102" s="42" t="s">
        <v>375</v>
      </c>
      <c r="B102" s="49" t="s">
        <v>285</v>
      </c>
      <c r="C102" s="42" t="s">
        <v>372</v>
      </c>
      <c r="D102" s="145">
        <v>958318248</v>
      </c>
      <c r="E102" s="42" t="s">
        <v>256</v>
      </c>
      <c r="F102" s="84">
        <v>37883</v>
      </c>
      <c r="G102" s="108" t="str">
        <f>CHOOSE(MONTH(F102),"Jan","Feb","Mar","Apr","May","Jun","Jul","Aug","Sep","Oct","Nov","Dec")</f>
        <v>Sep</v>
      </c>
      <c r="H102" s="54">
        <f ca="1">DATEDIF(F102,TODAY(),"Y")</f>
        <v>13</v>
      </c>
      <c r="I102" s="55" t="s">
        <v>257</v>
      </c>
      <c r="J102" s="56">
        <v>86530</v>
      </c>
      <c r="K102" s="57">
        <v>1</v>
      </c>
    </row>
    <row r="103" spans="1:14" x14ac:dyDescent="0.25">
      <c r="A103" s="42" t="s">
        <v>379</v>
      </c>
      <c r="B103" s="49" t="s">
        <v>280</v>
      </c>
      <c r="C103" s="42" t="s">
        <v>372</v>
      </c>
      <c r="D103" s="145">
        <v>539542451</v>
      </c>
      <c r="E103" s="42" t="s">
        <v>256</v>
      </c>
      <c r="F103" s="84">
        <v>39388</v>
      </c>
      <c r="G103" s="108" t="str">
        <f>CHOOSE(MONTH(F103),"Jan","Feb","Mar","Apr","May","Jun","Jul","Aug","Sep","Oct","Nov","Dec")</f>
        <v>Nov</v>
      </c>
      <c r="H103" s="54">
        <f ca="1">DATEDIF(F103,TODAY(),"Y")</f>
        <v>9</v>
      </c>
      <c r="I103" s="55" t="s">
        <v>257</v>
      </c>
      <c r="J103" s="56">
        <v>71120</v>
      </c>
      <c r="K103" s="57">
        <v>4</v>
      </c>
    </row>
    <row r="104" spans="1:14" x14ac:dyDescent="0.25">
      <c r="A104" s="42" t="s">
        <v>371</v>
      </c>
      <c r="B104" s="49" t="s">
        <v>251</v>
      </c>
      <c r="C104" s="42" t="s">
        <v>372</v>
      </c>
      <c r="D104" s="145">
        <v>357927834</v>
      </c>
      <c r="E104" s="42" t="s">
        <v>261</v>
      </c>
      <c r="F104" s="106">
        <v>40505</v>
      </c>
      <c r="G104" s="108" t="str">
        <f>CHOOSE(MONTH(F104),"Jan","Feb","Mar","Apr","May","Jun","Jul","Aug","Sep","Oct","Nov","Dec")</f>
        <v>Nov</v>
      </c>
      <c r="H104" s="54">
        <f ca="1">DATEDIF(F104,TODAY(),"Y")</f>
        <v>5</v>
      </c>
      <c r="I104" s="55" t="s">
        <v>283</v>
      </c>
      <c r="J104" s="56">
        <v>46230</v>
      </c>
      <c r="K104" s="57">
        <v>2</v>
      </c>
      <c r="N104" s="78"/>
    </row>
    <row r="105" spans="1:14" x14ac:dyDescent="0.25">
      <c r="A105" s="42" t="s">
        <v>389</v>
      </c>
      <c r="B105" s="49" t="s">
        <v>271</v>
      </c>
      <c r="C105" s="42" t="s">
        <v>381</v>
      </c>
      <c r="D105" s="145">
        <v>524284947</v>
      </c>
      <c r="E105" s="42" t="s">
        <v>256</v>
      </c>
      <c r="F105" s="84">
        <v>35449</v>
      </c>
      <c r="G105" s="108" t="str">
        <f>CHOOSE(MONTH(F105),"Jan","Feb","Mar","Apr","May","Jun","Jul","Aug","Sep","Oct","Nov","Dec")</f>
        <v>Jan</v>
      </c>
      <c r="H105" s="54">
        <f ca="1">DATEDIF(F105,TODAY(),"Y")</f>
        <v>19</v>
      </c>
      <c r="I105" s="55" t="s">
        <v>283</v>
      </c>
      <c r="J105" s="56">
        <v>22920</v>
      </c>
      <c r="K105" s="57">
        <v>3</v>
      </c>
    </row>
    <row r="106" spans="1:14" x14ac:dyDescent="0.25">
      <c r="A106" s="42" t="s">
        <v>383</v>
      </c>
      <c r="B106" s="49" t="s">
        <v>280</v>
      </c>
      <c r="C106" s="42" t="s">
        <v>381</v>
      </c>
      <c r="D106" s="145">
        <v>979361880</v>
      </c>
      <c r="E106" s="42" t="s">
        <v>256</v>
      </c>
      <c r="F106" s="84">
        <v>36182</v>
      </c>
      <c r="G106" s="108" t="str">
        <f>CHOOSE(MONTH(F106),"Jan","Feb","Mar","Apr","May","Jun","Jul","Aug","Sep","Oct","Nov","Dec")</f>
        <v>Jan</v>
      </c>
      <c r="H106" s="54">
        <f ca="1">DATEDIF(F106,TODAY(),"Y")</f>
        <v>17</v>
      </c>
      <c r="I106" s="55" t="s">
        <v>283</v>
      </c>
      <c r="J106" s="56">
        <v>68300</v>
      </c>
      <c r="K106" s="57">
        <v>5</v>
      </c>
    </row>
    <row r="107" spans="1:14" x14ac:dyDescent="0.25">
      <c r="A107" s="42" t="s">
        <v>380</v>
      </c>
      <c r="B107" s="49" t="s">
        <v>285</v>
      </c>
      <c r="C107" s="42" t="s">
        <v>381</v>
      </c>
      <c r="D107" s="145">
        <v>453764262</v>
      </c>
      <c r="E107" s="42" t="s">
        <v>261</v>
      </c>
      <c r="F107" s="84">
        <v>40572</v>
      </c>
      <c r="G107" s="108" t="str">
        <f>CHOOSE(MONTH(F107),"Jan","Feb","Mar","Apr","May","Jun","Jul","Aug","Sep","Oct","Nov","Dec")</f>
        <v>Jan</v>
      </c>
      <c r="H107" s="54">
        <f ca="1">DATEDIF(F107,TODAY(),"Y")</f>
        <v>5</v>
      </c>
      <c r="I107" s="55" t="s">
        <v>283</v>
      </c>
      <c r="J107" s="56">
        <v>10520</v>
      </c>
      <c r="K107" s="57">
        <v>4</v>
      </c>
      <c r="N107" s="78"/>
    </row>
    <row r="108" spans="1:14" x14ac:dyDescent="0.25">
      <c r="A108" s="42" t="s">
        <v>386</v>
      </c>
      <c r="B108" s="49" t="s">
        <v>266</v>
      </c>
      <c r="C108" s="42" t="s">
        <v>381</v>
      </c>
      <c r="D108" s="145">
        <v>493786564</v>
      </c>
      <c r="E108" s="42" t="s">
        <v>256</v>
      </c>
      <c r="F108" s="84">
        <v>35514</v>
      </c>
      <c r="G108" s="108" t="str">
        <f>CHOOSE(MONTH(F108),"Jan","Feb","Mar","Apr","May","Jun","Jul","Aug","Sep","Oct","Nov","Dec")</f>
        <v>Mar</v>
      </c>
      <c r="H108" s="54">
        <f ca="1">DATEDIF(F108,TODAY(),"Y")</f>
        <v>19</v>
      </c>
      <c r="I108" s="55" t="s">
        <v>267</v>
      </c>
      <c r="J108" s="56">
        <v>26510</v>
      </c>
      <c r="K108" s="57">
        <v>1</v>
      </c>
    </row>
    <row r="109" spans="1:14" x14ac:dyDescent="0.25">
      <c r="A109" s="42" t="s">
        <v>382</v>
      </c>
      <c r="B109" s="49" t="s">
        <v>271</v>
      </c>
      <c r="C109" s="42" t="s">
        <v>381</v>
      </c>
      <c r="D109" s="145">
        <v>488770022</v>
      </c>
      <c r="E109" s="42" t="s">
        <v>256</v>
      </c>
      <c r="F109" s="84">
        <v>36249</v>
      </c>
      <c r="G109" s="108" t="str">
        <f>CHOOSE(MONTH(F109),"Jan","Feb","Mar","Apr","May","Jun","Jul","Aug","Sep","Oct","Nov","Dec")</f>
        <v>Mar</v>
      </c>
      <c r="H109" s="54">
        <f ca="1">DATEDIF(F109,TODAY(),"Y")</f>
        <v>17</v>
      </c>
      <c r="I109" s="55" t="s">
        <v>257</v>
      </c>
      <c r="J109" s="56">
        <v>49860</v>
      </c>
      <c r="K109" s="57">
        <v>2</v>
      </c>
    </row>
    <row r="110" spans="1:14" x14ac:dyDescent="0.25">
      <c r="A110" s="42" t="s">
        <v>387</v>
      </c>
      <c r="B110" s="49" t="s">
        <v>285</v>
      </c>
      <c r="C110" s="42" t="s">
        <v>381</v>
      </c>
      <c r="D110" s="145">
        <v>268336939</v>
      </c>
      <c r="E110" s="42" t="s">
        <v>256</v>
      </c>
      <c r="F110" s="84">
        <v>39147</v>
      </c>
      <c r="G110" s="108" t="str">
        <f>CHOOSE(MONTH(F110),"Jan","Feb","Mar","Apr","May","Jun","Jul","Aug","Sep","Oct","Nov","Dec")</f>
        <v>Mar</v>
      </c>
      <c r="H110" s="54">
        <f ca="1">DATEDIF(F110,TODAY(),"Y")</f>
        <v>9</v>
      </c>
      <c r="I110" s="55" t="s">
        <v>283</v>
      </c>
      <c r="J110" s="56">
        <v>43680</v>
      </c>
      <c r="K110" s="57">
        <v>5</v>
      </c>
    </row>
    <row r="111" spans="1:14" x14ac:dyDescent="0.25">
      <c r="A111" s="42" t="s">
        <v>385</v>
      </c>
      <c r="B111" s="49" t="s">
        <v>271</v>
      </c>
      <c r="C111" s="42" t="s">
        <v>381</v>
      </c>
      <c r="D111" s="145">
        <v>752763265</v>
      </c>
      <c r="E111" s="42" t="s">
        <v>252</v>
      </c>
      <c r="F111" s="106">
        <v>40313</v>
      </c>
      <c r="G111" s="108" t="str">
        <f>CHOOSE(MONTH(F111),"Jan","Feb","Mar","Apr","May","Jun","Jul","Aug","Sep","Oct","Nov","Dec")</f>
        <v>May</v>
      </c>
      <c r="H111" s="54">
        <f ca="1">DATEDIF(F111,TODAY(),"Y")</f>
        <v>6</v>
      </c>
      <c r="I111" s="55"/>
      <c r="J111" s="56">
        <v>27484</v>
      </c>
      <c r="K111" s="57">
        <v>4</v>
      </c>
      <c r="N111" s="78"/>
    </row>
    <row r="112" spans="1:14" x14ac:dyDescent="0.25">
      <c r="A112" s="42" t="s">
        <v>388</v>
      </c>
      <c r="B112" s="49" t="s">
        <v>285</v>
      </c>
      <c r="C112" s="42" t="s">
        <v>381</v>
      </c>
      <c r="D112" s="145">
        <v>699160893</v>
      </c>
      <c r="E112" s="42" t="s">
        <v>256</v>
      </c>
      <c r="F112" s="84">
        <v>33071</v>
      </c>
      <c r="G112" s="108" t="str">
        <f>CHOOSE(MONTH(F112),"Jan","Feb","Mar","Apr","May","Jun","Jul","Aug","Sep","Oct","Nov","Dec")</f>
        <v>Jul</v>
      </c>
      <c r="H112" s="54">
        <f ca="1">DATEDIF(F112,TODAY(),"Y")</f>
        <v>26</v>
      </c>
      <c r="I112" s="55" t="s">
        <v>283</v>
      </c>
      <c r="J112" s="56">
        <v>69060</v>
      </c>
      <c r="K112" s="57">
        <v>1</v>
      </c>
    </row>
    <row r="113" spans="1:14" x14ac:dyDescent="0.25">
      <c r="A113" s="42" t="s">
        <v>384</v>
      </c>
      <c r="B113" s="49" t="s">
        <v>271</v>
      </c>
      <c r="C113" s="42" t="s">
        <v>381</v>
      </c>
      <c r="D113" s="145">
        <v>671177166</v>
      </c>
      <c r="E113" s="42" t="s">
        <v>261</v>
      </c>
      <c r="F113" s="106">
        <v>40516</v>
      </c>
      <c r="G113" s="108" t="str">
        <f>CHOOSE(MONTH(F113),"Jan","Feb","Mar","Apr","May","Jun","Jul","Aug","Sep","Oct","Nov","Dec")</f>
        <v>Dec</v>
      </c>
      <c r="H113" s="54">
        <f ca="1">DATEDIF(F113,TODAY(),"Y")</f>
        <v>5</v>
      </c>
      <c r="I113" s="55" t="s">
        <v>283</v>
      </c>
      <c r="J113" s="56">
        <v>28625</v>
      </c>
      <c r="K113" s="57">
        <v>1</v>
      </c>
      <c r="N113" s="78"/>
    </row>
    <row r="114" spans="1:14" x14ac:dyDescent="0.25">
      <c r="A114" s="42" t="s">
        <v>392</v>
      </c>
      <c r="B114" s="49" t="s">
        <v>251</v>
      </c>
      <c r="C114" s="42" t="s">
        <v>391</v>
      </c>
      <c r="D114" s="145">
        <v>582737704</v>
      </c>
      <c r="E114" s="42" t="s">
        <v>247</v>
      </c>
      <c r="F114" s="84">
        <v>33245</v>
      </c>
      <c r="G114" s="108" t="str">
        <f>CHOOSE(MONTH(F114),"Jan","Feb","Mar","Apr","May","Jun","Jul","Aug","Sep","Oct","Nov","Dec")</f>
        <v>Jan</v>
      </c>
      <c r="H114" s="54">
        <f ca="1">DATEDIF(F114,TODAY(),"Y")</f>
        <v>25</v>
      </c>
      <c r="I114" s="55"/>
      <c r="J114" s="56">
        <v>80050</v>
      </c>
      <c r="K114" s="57">
        <v>2</v>
      </c>
    </row>
    <row r="115" spans="1:14" x14ac:dyDescent="0.25">
      <c r="A115" s="42" t="s">
        <v>390</v>
      </c>
      <c r="B115" s="49" t="s">
        <v>271</v>
      </c>
      <c r="C115" s="42" t="s">
        <v>391</v>
      </c>
      <c r="D115" s="145">
        <v>337022977</v>
      </c>
      <c r="E115" s="42" t="s">
        <v>256</v>
      </c>
      <c r="F115" s="84">
        <v>33613</v>
      </c>
      <c r="G115" s="108" t="str">
        <f>CHOOSE(MONTH(F115),"Jan","Feb","Mar","Apr","May","Jun","Jul","Aug","Sep","Oct","Nov","Dec")</f>
        <v>Jan</v>
      </c>
      <c r="H115" s="54">
        <f ca="1">DATEDIF(F115,TODAY(),"Y")</f>
        <v>24</v>
      </c>
      <c r="I115" s="55" t="s">
        <v>267</v>
      </c>
      <c r="J115" s="56">
        <v>82500</v>
      </c>
      <c r="K115" s="57">
        <v>5</v>
      </c>
    </row>
    <row r="116" spans="1:14" x14ac:dyDescent="0.25">
      <c r="A116" s="42" t="s">
        <v>400</v>
      </c>
      <c r="B116" s="49" t="s">
        <v>285</v>
      </c>
      <c r="C116" s="42" t="s">
        <v>391</v>
      </c>
      <c r="D116" s="145">
        <v>113339444</v>
      </c>
      <c r="E116" s="42" t="s">
        <v>261</v>
      </c>
      <c r="F116" s="84">
        <v>33994</v>
      </c>
      <c r="G116" s="108" t="str">
        <f>CHOOSE(MONTH(F116),"Jan","Feb","Mar","Apr","May","Jun","Jul","Aug","Sep","Oct","Nov","Dec")</f>
        <v>Jan</v>
      </c>
      <c r="H116" s="54">
        <f ca="1">DATEDIF(F116,TODAY(),"Y")</f>
        <v>23</v>
      </c>
      <c r="I116" s="55" t="s">
        <v>276</v>
      </c>
      <c r="J116" s="56">
        <v>18655</v>
      </c>
      <c r="K116" s="57">
        <v>4</v>
      </c>
    </row>
    <row r="117" spans="1:14" x14ac:dyDescent="0.25">
      <c r="A117" s="42" t="s">
        <v>399</v>
      </c>
      <c r="B117" s="49" t="s">
        <v>251</v>
      </c>
      <c r="C117" s="42" t="s">
        <v>391</v>
      </c>
      <c r="D117" s="145">
        <v>149034731</v>
      </c>
      <c r="E117" s="42" t="s">
        <v>247</v>
      </c>
      <c r="F117" s="84">
        <v>36176</v>
      </c>
      <c r="G117" s="108" t="str">
        <f>CHOOSE(MONTH(F117),"Jan","Feb","Mar","Apr","May","Jun","Jul","Aug","Sep","Oct","Nov","Dec")</f>
        <v>Jan</v>
      </c>
      <c r="H117" s="54">
        <f ca="1">DATEDIF(F117,TODAY(),"Y")</f>
        <v>17</v>
      </c>
      <c r="I117" s="55"/>
      <c r="J117" s="56">
        <v>32940</v>
      </c>
      <c r="K117" s="57">
        <v>5</v>
      </c>
    </row>
    <row r="118" spans="1:14" x14ac:dyDescent="0.25">
      <c r="A118" s="42" t="s">
        <v>396</v>
      </c>
      <c r="B118" s="49" t="s">
        <v>266</v>
      </c>
      <c r="C118" s="42" t="s">
        <v>391</v>
      </c>
      <c r="D118" s="145">
        <v>808189747</v>
      </c>
      <c r="E118" s="42" t="s">
        <v>256</v>
      </c>
      <c r="F118" s="84">
        <v>35487</v>
      </c>
      <c r="G118" s="108" t="str">
        <f>CHOOSE(MONTH(F118),"Jan","Feb","Mar","Apr","May","Jun","Jul","Aug","Sep","Oct","Nov","Dec")</f>
        <v>Feb</v>
      </c>
      <c r="H118" s="54">
        <f ca="1">DATEDIF(F118,TODAY(),"Y")</f>
        <v>19</v>
      </c>
      <c r="I118" s="55" t="s">
        <v>257</v>
      </c>
      <c r="J118" s="56">
        <v>80120</v>
      </c>
      <c r="K118" s="57">
        <v>4</v>
      </c>
    </row>
    <row r="119" spans="1:14" x14ac:dyDescent="0.25">
      <c r="A119" s="42" t="s">
        <v>394</v>
      </c>
      <c r="B119" s="49" t="s">
        <v>280</v>
      </c>
      <c r="C119" s="42" t="s">
        <v>391</v>
      </c>
      <c r="D119" s="145">
        <v>837921626</v>
      </c>
      <c r="E119" s="42" t="s">
        <v>247</v>
      </c>
      <c r="F119" s="84">
        <v>37667</v>
      </c>
      <c r="G119" s="108" t="str">
        <f>CHOOSE(MONTH(F119),"Jan","Feb","Mar","Apr","May","Jun","Jul","Aug","Sep","Oct","Nov","Dec")</f>
        <v>Feb</v>
      </c>
      <c r="H119" s="54">
        <f ca="1">DATEDIF(F119,TODAY(),"Y")</f>
        <v>13</v>
      </c>
      <c r="I119" s="55"/>
      <c r="J119" s="56">
        <v>73390</v>
      </c>
      <c r="K119" s="57">
        <v>2</v>
      </c>
    </row>
    <row r="120" spans="1:14" x14ac:dyDescent="0.25">
      <c r="A120" s="42" t="s">
        <v>406</v>
      </c>
      <c r="B120" s="49" t="s">
        <v>245</v>
      </c>
      <c r="C120" s="42" t="s">
        <v>391</v>
      </c>
      <c r="D120" s="145">
        <v>466266002</v>
      </c>
      <c r="E120" s="42" t="s">
        <v>247</v>
      </c>
      <c r="F120" s="84">
        <v>35150</v>
      </c>
      <c r="G120" s="108" t="str">
        <f>CHOOSE(MONTH(F120),"Jan","Feb","Mar","Apr","May","Jun","Jul","Aug","Sep","Oct","Nov","Dec")</f>
        <v>Mar</v>
      </c>
      <c r="H120" s="54">
        <f ca="1">DATEDIF(F120,TODAY(),"Y")</f>
        <v>20</v>
      </c>
      <c r="I120" s="55"/>
      <c r="J120" s="56">
        <v>35260</v>
      </c>
      <c r="K120" s="57">
        <v>2</v>
      </c>
    </row>
    <row r="121" spans="1:14" x14ac:dyDescent="0.25">
      <c r="A121" s="42" t="s">
        <v>409</v>
      </c>
      <c r="B121" s="49" t="s">
        <v>285</v>
      </c>
      <c r="C121" s="42" t="s">
        <v>391</v>
      </c>
      <c r="D121" s="145">
        <v>296063951</v>
      </c>
      <c r="E121" s="42" t="s">
        <v>256</v>
      </c>
      <c r="F121" s="84">
        <v>36269</v>
      </c>
      <c r="G121" s="108" t="str">
        <f>CHOOSE(MONTH(F121),"Jan","Feb","Mar","Apr","May","Jun","Jul","Aug","Sep","Oct","Nov","Dec")</f>
        <v>Apr</v>
      </c>
      <c r="H121" s="54">
        <f ca="1">DATEDIF(F121,TODAY(),"Y")</f>
        <v>17</v>
      </c>
      <c r="I121" s="55" t="s">
        <v>283</v>
      </c>
      <c r="J121" s="56">
        <v>61330</v>
      </c>
      <c r="K121" s="57">
        <v>1</v>
      </c>
    </row>
    <row r="122" spans="1:14" x14ac:dyDescent="0.25">
      <c r="A122" s="42" t="s">
        <v>407</v>
      </c>
      <c r="B122" s="49" t="s">
        <v>271</v>
      </c>
      <c r="C122" s="42" t="s">
        <v>391</v>
      </c>
      <c r="D122" s="145">
        <v>296623656</v>
      </c>
      <c r="E122" s="42" t="s">
        <v>247</v>
      </c>
      <c r="F122" s="84">
        <v>35959</v>
      </c>
      <c r="G122" s="108" t="str">
        <f>CHOOSE(MONTH(F122),"Jan","Feb","Mar","Apr","May","Jun","Jul","Aug","Sep","Oct","Nov","Dec")</f>
        <v>Jun</v>
      </c>
      <c r="H122" s="54">
        <f ca="1">DATEDIF(F122,TODAY(),"Y")</f>
        <v>18</v>
      </c>
      <c r="I122" s="55"/>
      <c r="J122" s="56">
        <v>64470</v>
      </c>
      <c r="K122" s="57">
        <v>3</v>
      </c>
    </row>
    <row r="123" spans="1:14" x14ac:dyDescent="0.25">
      <c r="A123" s="42" t="s">
        <v>405</v>
      </c>
      <c r="B123" s="49" t="s">
        <v>245</v>
      </c>
      <c r="C123" s="42" t="s">
        <v>391</v>
      </c>
      <c r="D123" s="145">
        <v>252749648</v>
      </c>
      <c r="E123" s="42" t="s">
        <v>256</v>
      </c>
      <c r="F123" s="84">
        <v>33447</v>
      </c>
      <c r="G123" s="108" t="str">
        <f>CHOOSE(MONTH(F123),"Jan","Feb","Mar","Apr","May","Jun","Jul","Aug","Sep","Oct","Nov","Dec")</f>
        <v>Jul</v>
      </c>
      <c r="H123" s="54">
        <f ca="1">DATEDIF(F123,TODAY(),"Y")</f>
        <v>25</v>
      </c>
      <c r="I123" s="55" t="s">
        <v>283</v>
      </c>
      <c r="J123" s="56">
        <v>37620</v>
      </c>
      <c r="K123" s="57">
        <v>5</v>
      </c>
      <c r="M123" s="66"/>
      <c r="N123" s="78"/>
    </row>
    <row r="124" spans="1:14" x14ac:dyDescent="0.25">
      <c r="A124" s="42" t="s">
        <v>393</v>
      </c>
      <c r="B124" s="49" t="s">
        <v>266</v>
      </c>
      <c r="C124" s="42" t="s">
        <v>391</v>
      </c>
      <c r="D124" s="145">
        <v>233987885</v>
      </c>
      <c r="E124" s="42" t="s">
        <v>247</v>
      </c>
      <c r="F124" s="84">
        <v>36342</v>
      </c>
      <c r="G124" s="108" t="str">
        <f>CHOOSE(MONTH(F124),"Jan","Feb","Mar","Apr","May","Jun","Jul","Aug","Sep","Oct","Nov","Dec")</f>
        <v>Jul</v>
      </c>
      <c r="H124" s="54">
        <f ca="1">DATEDIF(F124,TODAY(),"Y")</f>
        <v>17</v>
      </c>
      <c r="I124" s="55"/>
      <c r="J124" s="56">
        <v>86970</v>
      </c>
      <c r="K124" s="57">
        <v>4</v>
      </c>
    </row>
    <row r="125" spans="1:14" x14ac:dyDescent="0.25">
      <c r="A125" s="42" t="s">
        <v>408</v>
      </c>
      <c r="B125" s="49" t="s">
        <v>271</v>
      </c>
      <c r="C125" s="42" t="s">
        <v>391</v>
      </c>
      <c r="D125" s="145">
        <v>740477572</v>
      </c>
      <c r="E125" s="42" t="s">
        <v>261</v>
      </c>
      <c r="F125" s="84">
        <v>36357</v>
      </c>
      <c r="G125" s="108" t="str">
        <f>CHOOSE(MONTH(F125),"Jan","Feb","Mar","Apr","May","Jun","Jul","Aug","Sep","Oct","Nov","Dec")</f>
        <v>Jul</v>
      </c>
      <c r="H125" s="54">
        <f ca="1">DATEDIF(F125,TODAY(),"Y")</f>
        <v>17</v>
      </c>
      <c r="I125" s="55" t="s">
        <v>276</v>
      </c>
      <c r="J125" s="56">
        <v>42905</v>
      </c>
      <c r="K125" s="57">
        <v>1</v>
      </c>
    </row>
    <row r="126" spans="1:14" x14ac:dyDescent="0.25">
      <c r="A126" s="42" t="s">
        <v>398</v>
      </c>
      <c r="B126" s="49" t="s">
        <v>285</v>
      </c>
      <c r="C126" s="42" t="s">
        <v>391</v>
      </c>
      <c r="D126" s="145">
        <v>155232477</v>
      </c>
      <c r="E126" s="42" t="s">
        <v>256</v>
      </c>
      <c r="F126" s="84">
        <v>33823</v>
      </c>
      <c r="G126" s="108" t="str">
        <f>CHOOSE(MONTH(F126),"Jan","Feb","Mar","Apr","May","Jun","Jul","Aug","Sep","Oct","Nov","Dec")</f>
        <v>Aug</v>
      </c>
      <c r="H126" s="54">
        <f ca="1">DATEDIF(F126,TODAY(),"Y")</f>
        <v>24</v>
      </c>
      <c r="I126" s="55" t="s">
        <v>283</v>
      </c>
      <c r="J126" s="56">
        <v>82760</v>
      </c>
      <c r="K126" s="57">
        <v>4</v>
      </c>
    </row>
    <row r="127" spans="1:14" x14ac:dyDescent="0.25">
      <c r="A127" s="42" t="s">
        <v>404</v>
      </c>
      <c r="B127" s="49" t="s">
        <v>285</v>
      </c>
      <c r="C127" s="42" t="s">
        <v>391</v>
      </c>
      <c r="D127" s="145">
        <v>943835902</v>
      </c>
      <c r="E127" s="42" t="s">
        <v>252</v>
      </c>
      <c r="F127" s="84">
        <v>35673</v>
      </c>
      <c r="G127" s="108" t="str">
        <f>CHOOSE(MONTH(F127),"Jan","Feb","Mar","Apr","May","Jun","Jul","Aug","Sep","Oct","Nov","Dec")</f>
        <v>Aug</v>
      </c>
      <c r="H127" s="54">
        <f ca="1">DATEDIF(F127,TODAY(),"Y")</f>
        <v>19</v>
      </c>
      <c r="I127" s="55"/>
      <c r="J127" s="56">
        <v>12676</v>
      </c>
      <c r="K127" s="57">
        <v>2</v>
      </c>
    </row>
    <row r="128" spans="1:14" x14ac:dyDescent="0.25">
      <c r="A128" s="42" t="s">
        <v>402</v>
      </c>
      <c r="B128" s="49" t="s">
        <v>271</v>
      </c>
      <c r="C128" s="42" t="s">
        <v>391</v>
      </c>
      <c r="D128" s="145">
        <v>553874787</v>
      </c>
      <c r="E128" s="42" t="s">
        <v>256</v>
      </c>
      <c r="F128" s="84">
        <v>37113</v>
      </c>
      <c r="G128" s="108" t="str">
        <f>CHOOSE(MONTH(F128),"Jan","Feb","Mar","Apr","May","Jun","Jul","Aug","Sep","Oct","Nov","Dec")</f>
        <v>Aug</v>
      </c>
      <c r="H128" s="54">
        <f ca="1">DATEDIF(F128,TODAY(),"Y")</f>
        <v>15</v>
      </c>
      <c r="I128" s="55" t="s">
        <v>267</v>
      </c>
      <c r="J128" s="56">
        <v>61150</v>
      </c>
      <c r="K128" s="57">
        <v>4</v>
      </c>
    </row>
    <row r="129" spans="1:13" x14ac:dyDescent="0.25">
      <c r="A129" s="42" t="s">
        <v>401</v>
      </c>
      <c r="B129" s="49" t="s">
        <v>271</v>
      </c>
      <c r="C129" s="42" t="s">
        <v>391</v>
      </c>
      <c r="D129" s="145">
        <v>215684194</v>
      </c>
      <c r="E129" s="42" t="s">
        <v>256</v>
      </c>
      <c r="F129" s="84">
        <v>36077</v>
      </c>
      <c r="G129" s="108" t="str">
        <f>CHOOSE(MONTH(F129),"Jan","Feb","Mar","Apr","May","Jun","Jul","Aug","Sep","Oct","Nov","Dec")</f>
        <v>Oct</v>
      </c>
      <c r="H129" s="54">
        <f ca="1">DATEDIF(F129,TODAY(),"Y")</f>
        <v>18</v>
      </c>
      <c r="I129" s="55" t="s">
        <v>283</v>
      </c>
      <c r="J129" s="56">
        <v>50110</v>
      </c>
      <c r="K129" s="57">
        <v>1</v>
      </c>
    </row>
    <row r="130" spans="1:13" x14ac:dyDescent="0.25">
      <c r="A130" s="42" t="s">
        <v>403</v>
      </c>
      <c r="B130" s="49" t="s">
        <v>285</v>
      </c>
      <c r="C130" s="42" t="s">
        <v>391</v>
      </c>
      <c r="D130" s="145">
        <v>679632178</v>
      </c>
      <c r="E130" s="42" t="s">
        <v>252</v>
      </c>
      <c r="F130" s="84">
        <v>33183</v>
      </c>
      <c r="G130" s="108" t="str">
        <f>CHOOSE(MONTH(F130),"Jan","Feb","Mar","Apr","May","Jun","Jul","Aug","Sep","Oct","Nov","Dec")</f>
        <v>Nov</v>
      </c>
      <c r="H130" s="54">
        <f ca="1">DATEDIF(F130,TODAY(),"Y")</f>
        <v>26</v>
      </c>
      <c r="I130" s="55"/>
      <c r="J130" s="56">
        <v>14712</v>
      </c>
      <c r="K130" s="57">
        <v>5</v>
      </c>
    </row>
    <row r="131" spans="1:13" x14ac:dyDescent="0.25">
      <c r="A131" s="42" t="s">
        <v>395</v>
      </c>
      <c r="B131" s="49" t="s">
        <v>271</v>
      </c>
      <c r="C131" s="42" t="s">
        <v>391</v>
      </c>
      <c r="D131" s="145">
        <v>607067374</v>
      </c>
      <c r="E131" s="42" t="s">
        <v>247</v>
      </c>
      <c r="F131" s="84">
        <v>35737</v>
      </c>
      <c r="G131" s="108" t="str">
        <f>CHOOSE(MONTH(F131),"Jan","Feb","Mar","Apr","May","Jun","Jul","Aug","Sep","Oct","Nov","Dec")</f>
        <v>Nov</v>
      </c>
      <c r="H131" s="54">
        <f ca="1">DATEDIF(F131,TODAY(),"Y")</f>
        <v>19</v>
      </c>
      <c r="I131" s="55"/>
      <c r="J131" s="56">
        <v>76020</v>
      </c>
      <c r="K131" s="57">
        <v>1</v>
      </c>
    </row>
    <row r="132" spans="1:13" x14ac:dyDescent="0.25">
      <c r="A132" s="42" t="s">
        <v>397</v>
      </c>
      <c r="B132" s="49" t="s">
        <v>266</v>
      </c>
      <c r="C132" s="42" t="s">
        <v>391</v>
      </c>
      <c r="D132" s="145">
        <v>556554296</v>
      </c>
      <c r="E132" s="42" t="s">
        <v>256</v>
      </c>
      <c r="F132" s="84">
        <v>37612</v>
      </c>
      <c r="G132" s="108" t="str">
        <f>CHOOSE(MONTH(F132),"Jan","Feb","Mar","Apr","May","Jun","Jul","Aug","Sep","Oct","Nov","Dec")</f>
        <v>Dec</v>
      </c>
      <c r="H132" s="54">
        <f ca="1">DATEDIF(F132,TODAY(),"Y")</f>
        <v>13</v>
      </c>
      <c r="I132" s="55" t="s">
        <v>267</v>
      </c>
      <c r="J132" s="56">
        <v>39740</v>
      </c>
      <c r="K132" s="57">
        <v>1</v>
      </c>
    </row>
    <row r="133" spans="1:13" x14ac:dyDescent="0.25">
      <c r="A133" s="42" t="s">
        <v>414</v>
      </c>
      <c r="B133" s="49" t="s">
        <v>245</v>
      </c>
      <c r="C133" s="42" t="s">
        <v>411</v>
      </c>
      <c r="D133" s="145">
        <v>995433946</v>
      </c>
      <c r="E133" s="42" t="s">
        <v>256</v>
      </c>
      <c r="F133" s="84">
        <v>36569</v>
      </c>
      <c r="G133" s="108" t="str">
        <f>CHOOSE(MONTH(F133),"Jan","Feb","Mar","Apr","May","Jun","Jul","Aug","Sep","Oct","Nov","Dec")</f>
        <v>Feb</v>
      </c>
      <c r="H133" s="54">
        <f ca="1">DATEDIF(F133,TODAY(),"Y")</f>
        <v>16</v>
      </c>
      <c r="I133" s="55" t="s">
        <v>283</v>
      </c>
      <c r="J133" s="56">
        <v>75060</v>
      </c>
      <c r="K133" s="57">
        <v>5</v>
      </c>
    </row>
    <row r="134" spans="1:13" x14ac:dyDescent="0.25">
      <c r="A134" s="42" t="s">
        <v>412</v>
      </c>
      <c r="B134" s="49" t="s">
        <v>285</v>
      </c>
      <c r="C134" s="42" t="s">
        <v>411</v>
      </c>
      <c r="D134" s="145">
        <v>334925100</v>
      </c>
      <c r="E134" s="42" t="s">
        <v>247</v>
      </c>
      <c r="F134" s="84">
        <v>38527</v>
      </c>
      <c r="G134" s="108" t="str">
        <f>CHOOSE(MONTH(F134),"Jan","Feb","Mar","Apr","May","Jun","Jul","Aug","Sep","Oct","Nov","Dec")</f>
        <v>Jun</v>
      </c>
      <c r="H134" s="54">
        <f ca="1">DATEDIF(F134,TODAY(),"Y")</f>
        <v>11</v>
      </c>
      <c r="I134" s="55"/>
      <c r="J134" s="56">
        <v>60060</v>
      </c>
      <c r="K134" s="57">
        <v>2</v>
      </c>
    </row>
    <row r="135" spans="1:13" x14ac:dyDescent="0.25">
      <c r="A135" s="42" t="s">
        <v>410</v>
      </c>
      <c r="B135" s="49" t="s">
        <v>285</v>
      </c>
      <c r="C135" s="42" t="s">
        <v>411</v>
      </c>
      <c r="D135" s="145">
        <v>985985859</v>
      </c>
      <c r="E135" s="42" t="s">
        <v>256</v>
      </c>
      <c r="F135" s="84">
        <v>38587</v>
      </c>
      <c r="G135" s="108" t="str">
        <f>CHOOSE(MONTH(F135),"Jan","Feb","Mar","Apr","May","Jun","Jul","Aug","Sep","Oct","Nov","Dec")</f>
        <v>Aug</v>
      </c>
      <c r="H135" s="54">
        <f ca="1">DATEDIF(F135,TODAY(),"Y")</f>
        <v>11</v>
      </c>
      <c r="I135" s="55" t="s">
        <v>257</v>
      </c>
      <c r="J135" s="56">
        <v>47350</v>
      </c>
      <c r="K135" s="57">
        <v>5</v>
      </c>
    </row>
    <row r="136" spans="1:13" x14ac:dyDescent="0.25">
      <c r="A136" s="42" t="s">
        <v>413</v>
      </c>
      <c r="B136" s="49" t="s">
        <v>245</v>
      </c>
      <c r="C136" s="42" t="s">
        <v>411</v>
      </c>
      <c r="D136" s="145">
        <v>961565848</v>
      </c>
      <c r="E136" s="42" t="s">
        <v>256</v>
      </c>
      <c r="F136" s="106">
        <v>40400</v>
      </c>
      <c r="G136" s="108" t="str">
        <f>CHOOSE(MONTH(F136),"Jan","Feb","Mar","Apr","May","Jun","Jul","Aug","Sep","Oct","Nov","Dec")</f>
        <v>Aug</v>
      </c>
      <c r="H136" s="54">
        <f ca="1">DATEDIF(F136,TODAY(),"Y")</f>
        <v>6</v>
      </c>
      <c r="I136" s="55" t="s">
        <v>283</v>
      </c>
      <c r="J136" s="56">
        <v>79150</v>
      </c>
      <c r="K136" s="57">
        <v>2</v>
      </c>
    </row>
    <row r="137" spans="1:13" x14ac:dyDescent="0.25">
      <c r="A137" s="42" t="s">
        <v>415</v>
      </c>
      <c r="B137" s="49" t="s">
        <v>271</v>
      </c>
      <c r="C137" s="42" t="s">
        <v>411</v>
      </c>
      <c r="D137" s="145">
        <v>596724881</v>
      </c>
      <c r="E137" s="42" t="s">
        <v>256</v>
      </c>
      <c r="F137" s="84">
        <v>35329</v>
      </c>
      <c r="G137" s="108" t="str">
        <f>CHOOSE(MONTH(F137),"Jan","Feb","Mar","Apr","May","Jun","Jul","Aug","Sep","Oct","Nov","Dec")</f>
        <v>Sep</v>
      </c>
      <c r="H137" s="54">
        <f ca="1">DATEDIF(F137,TODAY(),"Y")</f>
        <v>20</v>
      </c>
      <c r="I137" s="55" t="s">
        <v>257</v>
      </c>
      <c r="J137" s="56">
        <v>66740</v>
      </c>
      <c r="K137" s="57">
        <v>2</v>
      </c>
    </row>
    <row r="138" spans="1:13" x14ac:dyDescent="0.25">
      <c r="A138" s="42" t="s">
        <v>419</v>
      </c>
      <c r="B138" s="49" t="s">
        <v>285</v>
      </c>
      <c r="C138" s="42" t="s">
        <v>417</v>
      </c>
      <c r="D138" s="145">
        <v>221497652</v>
      </c>
      <c r="E138" s="42" t="s">
        <v>261</v>
      </c>
      <c r="F138" s="84">
        <v>35070</v>
      </c>
      <c r="G138" s="108" t="str">
        <f>CHOOSE(MONTH(F138),"Jan","Feb","Mar","Apr","May","Jun","Jul","Aug","Sep","Oct","Nov","Dec")</f>
        <v>Jan</v>
      </c>
      <c r="H138" s="54">
        <f ca="1">DATEDIF(F138,TODAY(),"Y")</f>
        <v>20</v>
      </c>
      <c r="I138" s="55" t="s">
        <v>276</v>
      </c>
      <c r="J138" s="56">
        <v>21220</v>
      </c>
      <c r="K138" s="57">
        <v>3</v>
      </c>
    </row>
    <row r="139" spans="1:13" x14ac:dyDescent="0.25">
      <c r="A139" s="42" t="s">
        <v>416</v>
      </c>
      <c r="B139" s="49" t="s">
        <v>271</v>
      </c>
      <c r="C139" s="42" t="s">
        <v>417</v>
      </c>
      <c r="D139" s="145">
        <v>195394617</v>
      </c>
      <c r="E139" s="42" t="s">
        <v>256</v>
      </c>
      <c r="F139" s="84">
        <v>35084</v>
      </c>
      <c r="G139" s="108" t="str">
        <f>CHOOSE(MONTH(F139),"Jan","Feb","Mar","Apr","May","Jun","Jul","Aug","Sep","Oct","Nov","Dec")</f>
        <v>Jan</v>
      </c>
      <c r="H139" s="54">
        <f ca="1">DATEDIF(F139,TODAY(),"Y")</f>
        <v>20</v>
      </c>
      <c r="I139" s="55" t="s">
        <v>276</v>
      </c>
      <c r="J139" s="56">
        <v>49260</v>
      </c>
      <c r="K139" s="57">
        <v>3</v>
      </c>
    </row>
    <row r="140" spans="1:13" x14ac:dyDescent="0.25">
      <c r="A140" s="42" t="s">
        <v>418</v>
      </c>
      <c r="B140" s="49" t="s">
        <v>285</v>
      </c>
      <c r="C140" s="42" t="s">
        <v>417</v>
      </c>
      <c r="D140" s="145">
        <v>882261692</v>
      </c>
      <c r="E140" s="42" t="s">
        <v>247</v>
      </c>
      <c r="F140" s="84">
        <v>37641</v>
      </c>
      <c r="G140" s="108" t="str">
        <f>CHOOSE(MONTH(F140),"Jan","Feb","Mar","Apr","May","Jun","Jul","Aug","Sep","Oct","Nov","Dec")</f>
        <v>Jan</v>
      </c>
      <c r="H140" s="54">
        <f ca="1">DATEDIF(F140,TODAY(),"Y")</f>
        <v>13</v>
      </c>
      <c r="I140" s="55"/>
      <c r="J140" s="56">
        <v>31970</v>
      </c>
      <c r="K140" s="57">
        <v>5</v>
      </c>
    </row>
    <row r="141" spans="1:13" x14ac:dyDescent="0.25">
      <c r="A141" s="42" t="s">
        <v>445</v>
      </c>
      <c r="B141" s="49" t="s">
        <v>285</v>
      </c>
      <c r="C141" s="42" t="s">
        <v>417</v>
      </c>
      <c r="D141" s="145">
        <v>442972284</v>
      </c>
      <c r="E141" s="42" t="s">
        <v>261</v>
      </c>
      <c r="F141" s="84">
        <v>34755</v>
      </c>
      <c r="G141" s="108" t="str">
        <f>CHOOSE(MONTH(F141),"Jan","Feb","Mar","Apr","May","Jun","Jul","Aug","Sep","Oct","Nov","Dec")</f>
        <v>Feb</v>
      </c>
      <c r="H141" s="54">
        <f ca="1">DATEDIF(F141,TODAY(),"Y")</f>
        <v>21</v>
      </c>
      <c r="I141" s="55" t="s">
        <v>267</v>
      </c>
      <c r="J141" s="56">
        <v>15005</v>
      </c>
      <c r="K141" s="57">
        <v>4</v>
      </c>
      <c r="M141" s="66"/>
    </row>
    <row r="142" spans="1:13" x14ac:dyDescent="0.25">
      <c r="A142" s="42" t="s">
        <v>454</v>
      </c>
      <c r="B142" s="49" t="s">
        <v>271</v>
      </c>
      <c r="C142" s="42" t="s">
        <v>417</v>
      </c>
      <c r="D142" s="145">
        <v>165179030</v>
      </c>
      <c r="E142" s="42" t="s">
        <v>256</v>
      </c>
      <c r="F142" s="84">
        <v>37288</v>
      </c>
      <c r="G142" s="108" t="str">
        <f>CHOOSE(MONTH(F142),"Jan","Feb","Mar","Apr","May","Jun","Jul","Aug","Sep","Oct","Nov","Dec")</f>
        <v>Feb</v>
      </c>
      <c r="H142" s="54">
        <f ca="1">DATEDIF(F142,TODAY(),"Y")</f>
        <v>14</v>
      </c>
      <c r="I142" s="55" t="s">
        <v>257</v>
      </c>
      <c r="J142" s="56">
        <v>42480</v>
      </c>
      <c r="K142" s="57">
        <v>3</v>
      </c>
    </row>
    <row r="143" spans="1:13" x14ac:dyDescent="0.25">
      <c r="A143" s="42" t="s">
        <v>440</v>
      </c>
      <c r="B143" s="49" t="s">
        <v>285</v>
      </c>
      <c r="C143" s="42" t="s">
        <v>417</v>
      </c>
      <c r="D143" s="145">
        <v>980833346</v>
      </c>
      <c r="E143" s="42" t="s">
        <v>256</v>
      </c>
      <c r="F143" s="84">
        <v>38753</v>
      </c>
      <c r="G143" s="108" t="str">
        <f>CHOOSE(MONTH(F143),"Jan","Feb","Mar","Apr","May","Jun","Jul","Aug","Sep","Oct","Nov","Dec")</f>
        <v>Feb</v>
      </c>
      <c r="H143" s="54">
        <f ca="1">DATEDIF(F143,TODAY(),"Y")</f>
        <v>10</v>
      </c>
      <c r="I143" s="55" t="s">
        <v>257</v>
      </c>
      <c r="J143" s="56">
        <v>22410</v>
      </c>
      <c r="K143" s="57">
        <v>4</v>
      </c>
    </row>
    <row r="144" spans="1:13" x14ac:dyDescent="0.25">
      <c r="A144" s="42" t="s">
        <v>448</v>
      </c>
      <c r="B144" s="49" t="s">
        <v>271</v>
      </c>
      <c r="C144" s="42" t="s">
        <v>417</v>
      </c>
      <c r="D144" s="145">
        <v>705549975</v>
      </c>
      <c r="E144" s="42" t="s">
        <v>247</v>
      </c>
      <c r="F144" s="106">
        <v>40236</v>
      </c>
      <c r="G144" s="108" t="str">
        <f>CHOOSE(MONTH(F144),"Jan","Feb","Mar","Apr","May","Jun","Jul","Aug","Sep","Oct","Nov","Dec")</f>
        <v>Feb</v>
      </c>
      <c r="H144" s="54">
        <f ca="1">DATEDIF(F144,TODAY(),"Y")</f>
        <v>6</v>
      </c>
      <c r="I144" s="55"/>
      <c r="J144" s="56">
        <v>45830</v>
      </c>
      <c r="K144" s="57">
        <v>4</v>
      </c>
    </row>
    <row r="145" spans="1:13" x14ac:dyDescent="0.25">
      <c r="A145" s="42" t="s">
        <v>430</v>
      </c>
      <c r="B145" s="49" t="s">
        <v>245</v>
      </c>
      <c r="C145" s="42" t="s">
        <v>417</v>
      </c>
      <c r="D145" s="145">
        <v>301068136</v>
      </c>
      <c r="E145" s="42" t="s">
        <v>247</v>
      </c>
      <c r="F145" s="84">
        <v>34761</v>
      </c>
      <c r="G145" s="108" t="str">
        <f>CHOOSE(MONTH(F145),"Jan","Feb","Mar","Apr","May","Jun","Jul","Aug","Sep","Oct","Nov","Dec")</f>
        <v>Mar</v>
      </c>
      <c r="H145" s="54">
        <f ca="1">DATEDIF(F145,TODAY(),"Y")</f>
        <v>21</v>
      </c>
      <c r="I145" s="55"/>
      <c r="J145" s="56">
        <v>45040</v>
      </c>
      <c r="K145" s="57">
        <v>5</v>
      </c>
    </row>
    <row r="146" spans="1:13" x14ac:dyDescent="0.25">
      <c r="A146" s="42" t="s">
        <v>453</v>
      </c>
      <c r="B146" s="49" t="s">
        <v>271</v>
      </c>
      <c r="C146" s="42" t="s">
        <v>417</v>
      </c>
      <c r="D146" s="145">
        <v>301215667</v>
      </c>
      <c r="E146" s="42" t="s">
        <v>247</v>
      </c>
      <c r="F146" s="84">
        <v>34771</v>
      </c>
      <c r="G146" s="108" t="str">
        <f>CHOOSE(MONTH(F146),"Jan","Feb","Mar","Apr","May","Jun","Jul","Aug","Sep","Oct","Nov","Dec")</f>
        <v>Mar</v>
      </c>
      <c r="H146" s="54">
        <f ca="1">DATEDIF(F146,TODAY(),"Y")</f>
        <v>21</v>
      </c>
      <c r="I146" s="55"/>
      <c r="J146" s="56">
        <v>26360</v>
      </c>
      <c r="K146" s="57">
        <v>4</v>
      </c>
    </row>
    <row r="147" spans="1:13" x14ac:dyDescent="0.25">
      <c r="A147" s="42" t="s">
        <v>447</v>
      </c>
      <c r="B147" s="49" t="s">
        <v>285</v>
      </c>
      <c r="C147" s="42" t="s">
        <v>417</v>
      </c>
      <c r="D147" s="145">
        <v>535442436</v>
      </c>
      <c r="E147" s="42" t="s">
        <v>256</v>
      </c>
      <c r="F147" s="84">
        <v>35501</v>
      </c>
      <c r="G147" s="108" t="str">
        <f>CHOOSE(MONTH(F147),"Jan","Feb","Mar","Apr","May","Jun","Jul","Aug","Sep","Oct","Nov","Dec")</f>
        <v>Mar</v>
      </c>
      <c r="H147" s="54">
        <f ca="1">DATEDIF(F147,TODAY(),"Y")</f>
        <v>19</v>
      </c>
      <c r="I147" s="55" t="s">
        <v>283</v>
      </c>
      <c r="J147" s="56">
        <v>37750</v>
      </c>
      <c r="K147" s="57">
        <v>5</v>
      </c>
    </row>
    <row r="148" spans="1:13" x14ac:dyDescent="0.25">
      <c r="A148" s="42" t="s">
        <v>429</v>
      </c>
      <c r="B148" s="49" t="s">
        <v>271</v>
      </c>
      <c r="C148" s="42" t="s">
        <v>417</v>
      </c>
      <c r="D148" s="145">
        <v>580816855</v>
      </c>
      <c r="E148" s="42" t="s">
        <v>252</v>
      </c>
      <c r="F148" s="84">
        <v>39893</v>
      </c>
      <c r="G148" s="108" t="str">
        <f>CHOOSE(MONTH(F148),"Jan","Feb","Mar","Apr","May","Jun","Jul","Aug","Sep","Oct","Nov","Dec")</f>
        <v>Mar</v>
      </c>
      <c r="H148" s="54">
        <f ca="1">DATEDIF(F148,TODAY(),"Y")</f>
        <v>7</v>
      </c>
      <c r="I148" s="55"/>
      <c r="J148" s="56">
        <v>15744</v>
      </c>
      <c r="K148" s="57">
        <v>3</v>
      </c>
    </row>
    <row r="149" spans="1:13" x14ac:dyDescent="0.25">
      <c r="A149" s="42" t="s">
        <v>427</v>
      </c>
      <c r="B149" s="49" t="s">
        <v>266</v>
      </c>
      <c r="C149" s="42" t="s">
        <v>417</v>
      </c>
      <c r="D149" s="145">
        <v>986614610</v>
      </c>
      <c r="E149" s="42" t="s">
        <v>247</v>
      </c>
      <c r="F149" s="84">
        <v>40259</v>
      </c>
      <c r="G149" s="108" t="str">
        <f>CHOOSE(MONTH(F149),"Jan","Feb","Mar","Apr","May","Jun","Jul","Aug","Sep","Oct","Nov","Dec")</f>
        <v>Mar</v>
      </c>
      <c r="H149" s="54">
        <f ca="1">DATEDIF(F149,TODAY(),"Y")</f>
        <v>6</v>
      </c>
      <c r="I149" s="55"/>
      <c r="J149" s="56">
        <v>45710</v>
      </c>
      <c r="K149" s="57">
        <v>3</v>
      </c>
    </row>
    <row r="150" spans="1:13" x14ac:dyDescent="0.25">
      <c r="A150" s="42" t="s">
        <v>432</v>
      </c>
      <c r="B150" s="49" t="s">
        <v>245</v>
      </c>
      <c r="C150" s="42" t="s">
        <v>417</v>
      </c>
      <c r="D150" s="145">
        <v>838492284</v>
      </c>
      <c r="E150" s="42" t="s">
        <v>261</v>
      </c>
      <c r="F150" s="84">
        <v>33709</v>
      </c>
      <c r="G150" s="108" t="str">
        <f>CHOOSE(MONTH(F150),"Jan","Feb","Mar","Apr","May","Jun","Jul","Aug","Sep","Oct","Nov","Dec")</f>
        <v>Apr</v>
      </c>
      <c r="H150" s="54">
        <f ca="1">DATEDIF(F150,TODAY(),"Y")</f>
        <v>24</v>
      </c>
      <c r="I150" s="55" t="s">
        <v>257</v>
      </c>
      <c r="J150" s="56">
        <v>34110</v>
      </c>
      <c r="K150" s="57">
        <v>4</v>
      </c>
      <c r="M150" s="66"/>
    </row>
    <row r="151" spans="1:13" x14ac:dyDescent="0.25">
      <c r="A151" s="42" t="s">
        <v>450</v>
      </c>
      <c r="B151" s="49" t="s">
        <v>285</v>
      </c>
      <c r="C151" s="42" t="s">
        <v>417</v>
      </c>
      <c r="D151" s="145">
        <v>566341156</v>
      </c>
      <c r="E151" s="42" t="s">
        <v>256</v>
      </c>
      <c r="F151" s="84">
        <v>34086</v>
      </c>
      <c r="G151" s="108" t="str">
        <f>CHOOSE(MONTH(F151),"Jan","Feb","Mar","Apr","May","Jun","Jul","Aug","Sep","Oct","Nov","Dec")</f>
        <v>Apr</v>
      </c>
      <c r="H151" s="54">
        <f ca="1">DATEDIF(F151,TODAY(),"Y")</f>
        <v>23</v>
      </c>
      <c r="I151" s="55" t="s">
        <v>257</v>
      </c>
      <c r="J151" s="56">
        <v>31840</v>
      </c>
      <c r="K151" s="57">
        <v>1</v>
      </c>
    </row>
    <row r="152" spans="1:13" x14ac:dyDescent="0.25">
      <c r="A152" s="42" t="s">
        <v>436</v>
      </c>
      <c r="B152" s="49" t="s">
        <v>280</v>
      </c>
      <c r="C152" s="42" t="s">
        <v>417</v>
      </c>
      <c r="D152" s="145">
        <v>948682483</v>
      </c>
      <c r="E152" s="42" t="s">
        <v>252</v>
      </c>
      <c r="F152" s="84">
        <v>36263</v>
      </c>
      <c r="G152" s="108" t="str">
        <f>CHOOSE(MONTH(F152),"Jan","Feb","Mar","Apr","May","Jun","Jul","Aug","Sep","Oct","Nov","Dec")</f>
        <v>Apr</v>
      </c>
      <c r="H152" s="54">
        <f ca="1">DATEDIF(F152,TODAY(),"Y")</f>
        <v>17</v>
      </c>
      <c r="I152" s="55"/>
      <c r="J152" s="56">
        <v>38768</v>
      </c>
      <c r="K152" s="57">
        <v>4</v>
      </c>
    </row>
    <row r="153" spans="1:13" x14ac:dyDescent="0.25">
      <c r="A153" s="42" t="s">
        <v>433</v>
      </c>
      <c r="B153" s="49" t="s">
        <v>245</v>
      </c>
      <c r="C153" s="42" t="s">
        <v>417</v>
      </c>
      <c r="D153" s="145">
        <v>419764759</v>
      </c>
      <c r="E153" s="42" t="s">
        <v>256</v>
      </c>
      <c r="F153" s="84">
        <v>36643</v>
      </c>
      <c r="G153" s="108" t="str">
        <f>CHOOSE(MONTH(F153),"Jan","Feb","Mar","Apr","May","Jun","Jul","Aug","Sep","Oct","Nov","Dec")</f>
        <v>Apr</v>
      </c>
      <c r="H153" s="54">
        <f ca="1">DATEDIF(F153,TODAY(),"Y")</f>
        <v>16</v>
      </c>
      <c r="I153" s="55" t="s">
        <v>283</v>
      </c>
      <c r="J153" s="56">
        <v>71380</v>
      </c>
      <c r="K153" s="57">
        <v>2</v>
      </c>
    </row>
    <row r="154" spans="1:13" x14ac:dyDescent="0.25">
      <c r="A154" s="42" t="s">
        <v>423</v>
      </c>
      <c r="B154" s="49" t="s">
        <v>285</v>
      </c>
      <c r="C154" s="42" t="s">
        <v>417</v>
      </c>
      <c r="D154" s="145">
        <v>511039516</v>
      </c>
      <c r="E154" s="42" t="s">
        <v>261</v>
      </c>
      <c r="F154" s="84">
        <v>35186</v>
      </c>
      <c r="G154" s="108" t="str">
        <f>CHOOSE(MONTH(F154),"Jan","Feb","Mar","Apr","May","Jun","Jul","Aug","Sep","Oct","Nov","Dec")</f>
        <v>May</v>
      </c>
      <c r="H154" s="54">
        <f ca="1">DATEDIF(F154,TODAY(),"Y")</f>
        <v>20</v>
      </c>
      <c r="I154" s="55" t="s">
        <v>276</v>
      </c>
      <c r="J154" s="56">
        <v>32835</v>
      </c>
      <c r="K154" s="57">
        <v>2</v>
      </c>
    </row>
    <row r="155" spans="1:13" x14ac:dyDescent="0.25">
      <c r="A155" s="42" t="s">
        <v>426</v>
      </c>
      <c r="B155" s="49" t="s">
        <v>271</v>
      </c>
      <c r="C155" s="42" t="s">
        <v>417</v>
      </c>
      <c r="D155" s="145">
        <v>215074557</v>
      </c>
      <c r="E155" s="42" t="s">
        <v>247</v>
      </c>
      <c r="F155" s="84">
        <v>35939</v>
      </c>
      <c r="G155" s="108" t="str">
        <f>CHOOSE(MONTH(F155),"Jan","Feb","Mar","Apr","May","Jun","Jul","Aug","Sep","Oct","Nov","Dec")</f>
        <v>May</v>
      </c>
      <c r="H155" s="54">
        <f ca="1">DATEDIF(F155,TODAY(),"Y")</f>
        <v>18</v>
      </c>
      <c r="I155" s="55"/>
      <c r="J155" s="56">
        <v>25120</v>
      </c>
      <c r="K155" s="57">
        <v>5</v>
      </c>
    </row>
    <row r="156" spans="1:13" x14ac:dyDescent="0.25">
      <c r="A156" s="42" t="s">
        <v>437</v>
      </c>
      <c r="B156" s="49" t="s">
        <v>285</v>
      </c>
      <c r="C156" s="42" t="s">
        <v>417</v>
      </c>
      <c r="D156" s="145">
        <v>979525013</v>
      </c>
      <c r="E156" s="42" t="s">
        <v>256</v>
      </c>
      <c r="F156" s="84">
        <v>38135</v>
      </c>
      <c r="G156" s="108" t="str">
        <f>CHOOSE(MONTH(F156),"Jan","Feb","Mar","Apr","May","Jun","Jul","Aug","Sep","Oct","Nov","Dec")</f>
        <v>May</v>
      </c>
      <c r="H156" s="54">
        <f ca="1">DATEDIF(F156,TODAY(),"Y")</f>
        <v>12</v>
      </c>
      <c r="I156" s="55" t="s">
        <v>267</v>
      </c>
      <c r="J156" s="56">
        <v>65560</v>
      </c>
      <c r="K156" s="57">
        <v>1</v>
      </c>
    </row>
    <row r="157" spans="1:13" x14ac:dyDescent="0.25">
      <c r="A157" s="42" t="s">
        <v>428</v>
      </c>
      <c r="B157" s="49" t="s">
        <v>271</v>
      </c>
      <c r="C157" s="42" t="s">
        <v>417</v>
      </c>
      <c r="D157" s="145">
        <v>821386342</v>
      </c>
      <c r="E157" s="42" t="s">
        <v>256</v>
      </c>
      <c r="F157" s="84">
        <v>33405</v>
      </c>
      <c r="G157" s="108" t="str">
        <f>CHOOSE(MONTH(F157),"Jan","Feb","Mar","Apr","May","Jun","Jul","Aug","Sep","Oct","Nov","Dec")</f>
        <v>Jun</v>
      </c>
      <c r="H157" s="54">
        <f ca="1">DATEDIF(F157,TODAY(),"Y")</f>
        <v>25</v>
      </c>
      <c r="I157" s="55" t="s">
        <v>283</v>
      </c>
      <c r="J157" s="56">
        <v>32140</v>
      </c>
      <c r="K157" s="57">
        <v>2</v>
      </c>
    </row>
    <row r="158" spans="1:13" x14ac:dyDescent="0.25">
      <c r="A158" s="42" t="s">
        <v>438</v>
      </c>
      <c r="B158" s="49" t="s">
        <v>271</v>
      </c>
      <c r="C158" s="42" t="s">
        <v>417</v>
      </c>
      <c r="D158" s="145">
        <v>417292721</v>
      </c>
      <c r="E158" s="42" t="s">
        <v>256</v>
      </c>
      <c r="F158" s="84">
        <v>35605</v>
      </c>
      <c r="G158" s="108" t="str">
        <f>CHOOSE(MONTH(F158),"Jan","Feb","Mar","Apr","May","Jun","Jul","Aug","Sep","Oct","Nov","Dec")</f>
        <v>Jun</v>
      </c>
      <c r="H158" s="54">
        <f ca="1">DATEDIF(F158,TODAY(),"Y")</f>
        <v>19</v>
      </c>
      <c r="I158" s="55" t="s">
        <v>283</v>
      </c>
      <c r="J158" s="56">
        <v>56870</v>
      </c>
      <c r="K158" s="57">
        <v>1</v>
      </c>
    </row>
    <row r="159" spans="1:13" x14ac:dyDescent="0.25">
      <c r="A159" s="42" t="s">
        <v>439</v>
      </c>
      <c r="B159" s="49" t="s">
        <v>280</v>
      </c>
      <c r="C159" s="42" t="s">
        <v>417</v>
      </c>
      <c r="D159" s="145">
        <v>761404774</v>
      </c>
      <c r="E159" s="42" t="s">
        <v>256</v>
      </c>
      <c r="F159" s="84">
        <v>33079</v>
      </c>
      <c r="G159" s="108" t="str">
        <f>CHOOSE(MONTH(F159),"Jan","Feb","Mar","Apr","May","Jun","Jul","Aug","Sep","Oct","Nov","Dec")</f>
        <v>Jul</v>
      </c>
      <c r="H159" s="54">
        <f ca="1">DATEDIF(F159,TODAY(),"Y")</f>
        <v>26</v>
      </c>
      <c r="I159" s="55" t="s">
        <v>276</v>
      </c>
      <c r="J159" s="56">
        <v>32360</v>
      </c>
      <c r="K159" s="57">
        <v>4</v>
      </c>
    </row>
    <row r="160" spans="1:13" x14ac:dyDescent="0.25">
      <c r="A160" s="42" t="s">
        <v>431</v>
      </c>
      <c r="B160" s="49" t="s">
        <v>285</v>
      </c>
      <c r="C160" s="42" t="s">
        <v>417</v>
      </c>
      <c r="D160" s="145">
        <v>351466618</v>
      </c>
      <c r="E160" s="42" t="s">
        <v>247</v>
      </c>
      <c r="F160" s="84">
        <v>33424</v>
      </c>
      <c r="G160" s="108" t="str">
        <f>CHOOSE(MONTH(F160),"Jan","Feb","Mar","Apr","May","Jun","Jul","Aug","Sep","Oct","Nov","Dec")</f>
        <v>Jul</v>
      </c>
      <c r="H160" s="54">
        <f ca="1">DATEDIF(F160,TODAY(),"Y")</f>
        <v>25</v>
      </c>
      <c r="I160" s="55"/>
      <c r="J160" s="56">
        <v>22320</v>
      </c>
      <c r="K160" s="57">
        <v>2</v>
      </c>
    </row>
    <row r="161" spans="1:11" x14ac:dyDescent="0.25">
      <c r="A161" s="42" t="s">
        <v>444</v>
      </c>
      <c r="B161" s="49" t="s">
        <v>245</v>
      </c>
      <c r="C161" s="42" t="s">
        <v>417</v>
      </c>
      <c r="D161" s="145">
        <v>206836754</v>
      </c>
      <c r="E161" s="42" t="s">
        <v>247</v>
      </c>
      <c r="F161" s="84">
        <v>34161</v>
      </c>
      <c r="G161" s="108" t="str">
        <f>CHOOSE(MONTH(F161),"Jan","Feb","Mar","Apr","May","Jun","Jul","Aug","Sep","Oct","Nov","Dec")</f>
        <v>Jul</v>
      </c>
      <c r="H161" s="54">
        <f ca="1">DATEDIF(F161,TODAY(),"Y")</f>
        <v>23</v>
      </c>
      <c r="I161" s="55"/>
      <c r="J161" s="56">
        <v>64090</v>
      </c>
      <c r="K161" s="57">
        <v>2</v>
      </c>
    </row>
    <row r="162" spans="1:11" x14ac:dyDescent="0.25">
      <c r="A162" s="42" t="s">
        <v>425</v>
      </c>
      <c r="B162" s="49" t="s">
        <v>285</v>
      </c>
      <c r="C162" s="42" t="s">
        <v>417</v>
      </c>
      <c r="D162" s="145">
        <v>306656146</v>
      </c>
      <c r="E162" s="42" t="s">
        <v>256</v>
      </c>
      <c r="F162" s="84">
        <v>35253</v>
      </c>
      <c r="G162" s="108" t="str">
        <f>CHOOSE(MONTH(F162),"Jan","Feb","Mar","Apr","May","Jun","Jul","Aug","Sep","Oct","Nov","Dec")</f>
        <v>Jul</v>
      </c>
      <c r="H162" s="54">
        <f ca="1">DATEDIF(F162,TODAY(),"Y")</f>
        <v>20</v>
      </c>
      <c r="I162" s="55" t="s">
        <v>257</v>
      </c>
      <c r="J162" s="56">
        <v>63780</v>
      </c>
      <c r="K162" s="57">
        <v>5</v>
      </c>
    </row>
    <row r="163" spans="1:11" x14ac:dyDescent="0.25">
      <c r="A163" s="42" t="s">
        <v>446</v>
      </c>
      <c r="B163" s="49" t="s">
        <v>251</v>
      </c>
      <c r="C163" s="42" t="s">
        <v>417</v>
      </c>
      <c r="D163" s="145">
        <v>467505582</v>
      </c>
      <c r="E163" s="42" t="s">
        <v>256</v>
      </c>
      <c r="F163" s="84">
        <v>35989</v>
      </c>
      <c r="G163" s="108" t="str">
        <f>CHOOSE(MONTH(F163),"Jan","Feb","Mar","Apr","May","Jun","Jul","Aug","Sep","Oct","Nov","Dec")</f>
        <v>Jul</v>
      </c>
      <c r="H163" s="54">
        <f ca="1">DATEDIF(F163,TODAY(),"Y")</f>
        <v>18</v>
      </c>
      <c r="I163" s="55" t="s">
        <v>262</v>
      </c>
      <c r="J163" s="56">
        <v>71010</v>
      </c>
      <c r="K163" s="57">
        <v>5</v>
      </c>
    </row>
    <row r="164" spans="1:11" x14ac:dyDescent="0.25">
      <c r="A164" s="42" t="s">
        <v>452</v>
      </c>
      <c r="B164" s="49" t="s">
        <v>285</v>
      </c>
      <c r="C164" s="42" t="s">
        <v>417</v>
      </c>
      <c r="D164" s="145">
        <v>450582040</v>
      </c>
      <c r="E164" s="42" t="s">
        <v>247</v>
      </c>
      <c r="F164" s="84">
        <v>34912</v>
      </c>
      <c r="G164" s="108" t="str">
        <f>CHOOSE(MONTH(F164),"Jan","Feb","Mar","Apr","May","Jun","Jul","Aug","Sep","Oct","Nov","Dec")</f>
        <v>Aug</v>
      </c>
      <c r="H164" s="54">
        <f ca="1">DATEDIF(F164,TODAY(),"Y")</f>
        <v>21</v>
      </c>
      <c r="I164" s="55"/>
      <c r="J164" s="56">
        <v>40560</v>
      </c>
      <c r="K164" s="57">
        <v>5</v>
      </c>
    </row>
    <row r="165" spans="1:11" x14ac:dyDescent="0.25">
      <c r="A165" s="42" t="s">
        <v>449</v>
      </c>
      <c r="B165" s="49" t="s">
        <v>251</v>
      </c>
      <c r="C165" s="42" t="s">
        <v>417</v>
      </c>
      <c r="D165" s="145">
        <v>924021148</v>
      </c>
      <c r="E165" s="42" t="s">
        <v>247</v>
      </c>
      <c r="F165" s="84">
        <v>40054</v>
      </c>
      <c r="G165" s="108" t="str">
        <f>CHOOSE(MONTH(F165),"Jan","Feb","Mar","Apr","May","Jun","Jul","Aug","Sep","Oct","Nov","Dec")</f>
        <v>Aug</v>
      </c>
      <c r="H165" s="54">
        <f ca="1">DATEDIF(F165,TODAY(),"Y")</f>
        <v>7</v>
      </c>
      <c r="I165" s="55"/>
      <c r="J165" s="56">
        <v>56920</v>
      </c>
      <c r="K165" s="57">
        <v>4</v>
      </c>
    </row>
    <row r="166" spans="1:11" x14ac:dyDescent="0.25">
      <c r="A166" s="42" t="s">
        <v>424</v>
      </c>
      <c r="B166" s="49" t="s">
        <v>271</v>
      </c>
      <c r="C166" s="42" t="s">
        <v>417</v>
      </c>
      <c r="D166" s="145">
        <v>938838840</v>
      </c>
      <c r="E166" s="42" t="s">
        <v>256</v>
      </c>
      <c r="F166" s="84">
        <v>40399</v>
      </c>
      <c r="G166" s="108" t="str">
        <f>CHOOSE(MONTH(F166),"Jan","Feb","Mar","Apr","May","Jun","Jul","Aug","Sep","Oct","Nov","Dec")</f>
        <v>Aug</v>
      </c>
      <c r="H166" s="54">
        <f ca="1">DATEDIF(F166,TODAY(),"Y")</f>
        <v>6</v>
      </c>
      <c r="I166" s="55" t="s">
        <v>267</v>
      </c>
      <c r="J166" s="56">
        <v>32640</v>
      </c>
      <c r="K166" s="57">
        <v>4</v>
      </c>
    </row>
    <row r="167" spans="1:11" x14ac:dyDescent="0.25">
      <c r="A167" s="42" t="s">
        <v>441</v>
      </c>
      <c r="B167" s="49" t="s">
        <v>271</v>
      </c>
      <c r="C167" s="42" t="s">
        <v>417</v>
      </c>
      <c r="D167" s="145">
        <v>293180812</v>
      </c>
      <c r="E167" s="42" t="s">
        <v>256</v>
      </c>
      <c r="F167" s="84">
        <v>33117</v>
      </c>
      <c r="G167" s="108" t="str">
        <f>CHOOSE(MONTH(F167),"Jan","Feb","Mar","Apr","May","Jun","Jul","Aug","Sep","Oct","Nov","Dec")</f>
        <v>Sep</v>
      </c>
      <c r="H167" s="54">
        <f ca="1">DATEDIF(F167,TODAY(),"Y")</f>
        <v>26</v>
      </c>
      <c r="I167" s="55" t="s">
        <v>267</v>
      </c>
      <c r="J167" s="56">
        <v>35360</v>
      </c>
      <c r="K167" s="57">
        <v>5</v>
      </c>
    </row>
    <row r="168" spans="1:11" x14ac:dyDescent="0.25">
      <c r="A168" s="42" t="s">
        <v>421</v>
      </c>
      <c r="B168" s="49" t="s">
        <v>280</v>
      </c>
      <c r="C168" s="42" t="s">
        <v>417</v>
      </c>
      <c r="D168" s="145">
        <v>532008427</v>
      </c>
      <c r="E168" s="42" t="s">
        <v>256</v>
      </c>
      <c r="F168" s="84">
        <v>33872</v>
      </c>
      <c r="G168" s="108" t="str">
        <f>CHOOSE(MONTH(F168),"Jan","Feb","Mar","Apr","May","Jun","Jul","Aug","Sep","Oct","Nov","Dec")</f>
        <v>Sep</v>
      </c>
      <c r="H168" s="54">
        <f ca="1">DATEDIF(F168,TODAY(),"Y")</f>
        <v>24</v>
      </c>
      <c r="I168" s="55" t="s">
        <v>257</v>
      </c>
      <c r="J168" s="56">
        <v>64510</v>
      </c>
      <c r="K168" s="57">
        <v>3</v>
      </c>
    </row>
    <row r="169" spans="1:11" x14ac:dyDescent="0.25">
      <c r="A169" s="42" t="s">
        <v>451</v>
      </c>
      <c r="B169" s="49" t="s">
        <v>271</v>
      </c>
      <c r="C169" s="42" t="s">
        <v>417</v>
      </c>
      <c r="D169" s="145">
        <v>606035571</v>
      </c>
      <c r="E169" s="42" t="s">
        <v>256</v>
      </c>
      <c r="F169" s="84">
        <v>34213</v>
      </c>
      <c r="G169" s="108" t="str">
        <f>CHOOSE(MONTH(F169),"Jan","Feb","Mar","Apr","May","Jun","Jul","Aug","Sep","Oct","Nov","Dec")</f>
        <v>Sep</v>
      </c>
      <c r="H169" s="54">
        <f ca="1">DATEDIF(F169,TODAY(),"Y")</f>
        <v>23</v>
      </c>
      <c r="I169" s="55" t="s">
        <v>257</v>
      </c>
      <c r="J169" s="56">
        <v>72900</v>
      </c>
      <c r="K169" s="57">
        <v>3</v>
      </c>
    </row>
    <row r="170" spans="1:11" x14ac:dyDescent="0.25">
      <c r="A170" s="42" t="s">
        <v>435</v>
      </c>
      <c r="B170" s="49" t="s">
        <v>280</v>
      </c>
      <c r="C170" s="42" t="s">
        <v>417</v>
      </c>
      <c r="D170" s="145">
        <v>730750253</v>
      </c>
      <c r="E170" s="42" t="s">
        <v>256</v>
      </c>
      <c r="F170" s="84">
        <v>36414</v>
      </c>
      <c r="G170" s="108" t="str">
        <f>CHOOSE(MONTH(F170),"Jan","Feb","Mar","Apr","May","Jun","Jul","Aug","Sep","Oct","Nov","Dec")</f>
        <v>Sep</v>
      </c>
      <c r="H170" s="54">
        <f ca="1">DATEDIF(F170,TODAY(),"Y")</f>
        <v>17</v>
      </c>
      <c r="I170" s="55" t="s">
        <v>276</v>
      </c>
      <c r="J170" s="56">
        <v>39680</v>
      </c>
      <c r="K170" s="57">
        <v>5</v>
      </c>
    </row>
    <row r="171" spans="1:11" x14ac:dyDescent="0.25">
      <c r="A171" s="42" t="s">
        <v>420</v>
      </c>
      <c r="B171" s="49" t="s">
        <v>251</v>
      </c>
      <c r="C171" s="42" t="s">
        <v>417</v>
      </c>
      <c r="D171" s="145">
        <v>140093756</v>
      </c>
      <c r="E171" s="42" t="s">
        <v>256</v>
      </c>
      <c r="F171" s="84">
        <v>36082</v>
      </c>
      <c r="G171" s="108" t="str">
        <f>CHOOSE(MONTH(F171),"Jan","Feb","Mar","Apr","May","Jun","Jul","Aug","Sep","Oct","Nov","Dec")</f>
        <v>Oct</v>
      </c>
      <c r="H171" s="54">
        <f ca="1">DATEDIF(F171,TODAY(),"Y")</f>
        <v>18</v>
      </c>
      <c r="I171" s="55" t="s">
        <v>283</v>
      </c>
      <c r="J171" s="56">
        <v>82400</v>
      </c>
      <c r="K171" s="57">
        <v>2</v>
      </c>
    </row>
    <row r="172" spans="1:11" x14ac:dyDescent="0.25">
      <c r="A172" s="42" t="s">
        <v>443</v>
      </c>
      <c r="B172" s="49" t="s">
        <v>285</v>
      </c>
      <c r="C172" s="42" t="s">
        <v>417</v>
      </c>
      <c r="D172" s="145">
        <v>730371043</v>
      </c>
      <c r="E172" s="42" t="s">
        <v>256</v>
      </c>
      <c r="F172" s="84">
        <v>40470</v>
      </c>
      <c r="G172" s="108" t="str">
        <f>CHOOSE(MONTH(F172),"Jan","Feb","Mar","Apr","May","Jun","Jul","Aug","Sep","Oct","Nov","Dec")</f>
        <v>Oct</v>
      </c>
      <c r="H172" s="54">
        <f ca="1">DATEDIF(F172,TODAY(),"Y")</f>
        <v>6</v>
      </c>
      <c r="I172" s="55" t="s">
        <v>283</v>
      </c>
      <c r="J172" s="56">
        <v>42620</v>
      </c>
      <c r="K172" s="57">
        <v>3</v>
      </c>
    </row>
    <row r="173" spans="1:11" x14ac:dyDescent="0.25">
      <c r="A173" s="42" t="s">
        <v>434</v>
      </c>
      <c r="B173" s="49" t="s">
        <v>251</v>
      </c>
      <c r="C173" s="42" t="s">
        <v>417</v>
      </c>
      <c r="D173" s="145">
        <v>976480466</v>
      </c>
      <c r="E173" s="42" t="s">
        <v>256</v>
      </c>
      <c r="F173" s="84">
        <v>33923</v>
      </c>
      <c r="G173" s="108" t="str">
        <f>CHOOSE(MONTH(F173),"Jan","Feb","Mar","Apr","May","Jun","Jul","Aug","Sep","Oct","Nov","Dec")</f>
        <v>Nov</v>
      </c>
      <c r="H173" s="54">
        <f ca="1">DATEDIF(F173,TODAY(),"Y")</f>
        <v>23</v>
      </c>
      <c r="I173" s="55" t="s">
        <v>283</v>
      </c>
      <c r="J173" s="56">
        <v>46340</v>
      </c>
      <c r="K173" s="57">
        <v>5</v>
      </c>
    </row>
    <row r="174" spans="1:11" x14ac:dyDescent="0.25">
      <c r="A174" s="42" t="s">
        <v>422</v>
      </c>
      <c r="B174" s="49" t="s">
        <v>271</v>
      </c>
      <c r="C174" s="42" t="s">
        <v>417</v>
      </c>
      <c r="D174" s="145">
        <v>438190945</v>
      </c>
      <c r="E174" s="42" t="s">
        <v>261</v>
      </c>
      <c r="F174" s="84">
        <v>39768</v>
      </c>
      <c r="G174" s="108" t="str">
        <f>CHOOSE(MONTH(F174),"Jan","Feb","Mar","Apr","May","Jun","Jul","Aug","Sep","Oct","Nov","Dec")</f>
        <v>Nov</v>
      </c>
      <c r="H174" s="54">
        <f ca="1">DATEDIF(F174,TODAY(),"Y")</f>
        <v>7</v>
      </c>
      <c r="I174" s="55" t="s">
        <v>257</v>
      </c>
      <c r="J174" s="56">
        <v>39515</v>
      </c>
      <c r="K174" s="57">
        <v>5</v>
      </c>
    </row>
    <row r="175" spans="1:11" x14ac:dyDescent="0.25">
      <c r="A175" s="42" t="s">
        <v>442</v>
      </c>
      <c r="B175" s="49" t="s">
        <v>271</v>
      </c>
      <c r="C175" s="42" t="s">
        <v>417</v>
      </c>
      <c r="D175" s="145">
        <v>467098416</v>
      </c>
      <c r="E175" s="42" t="s">
        <v>247</v>
      </c>
      <c r="F175" s="84">
        <v>33949</v>
      </c>
      <c r="G175" s="108" t="str">
        <f>CHOOSE(MONTH(F175),"Jan","Feb","Mar","Apr","May","Jun","Jul","Aug","Sep","Oct","Nov","Dec")</f>
        <v>Dec</v>
      </c>
      <c r="H175" s="54">
        <f ca="1">DATEDIF(F175,TODAY(),"Y")</f>
        <v>23</v>
      </c>
      <c r="I175" s="55"/>
      <c r="J175" s="56">
        <v>81070</v>
      </c>
      <c r="K175" s="57">
        <v>5</v>
      </c>
    </row>
    <row r="176" spans="1:11" x14ac:dyDescent="0.25">
      <c r="A176" s="42" t="s">
        <v>463</v>
      </c>
      <c r="B176" s="49" t="s">
        <v>271</v>
      </c>
      <c r="C176" s="42" t="s">
        <v>456</v>
      </c>
      <c r="D176" s="145">
        <v>405706135</v>
      </c>
      <c r="E176" s="42" t="s">
        <v>261</v>
      </c>
      <c r="F176" s="84">
        <v>34401</v>
      </c>
      <c r="G176" s="108" t="str">
        <f>CHOOSE(MONTH(F176),"Jan","Feb","Mar","Apr","May","Jun","Jul","Aug","Sep","Oct","Nov","Dec")</f>
        <v>Mar</v>
      </c>
      <c r="H176" s="54">
        <f ca="1">DATEDIF(F176,TODAY(),"Y")</f>
        <v>22</v>
      </c>
      <c r="I176" s="55" t="s">
        <v>267</v>
      </c>
      <c r="J176" s="56">
        <v>89780</v>
      </c>
      <c r="K176" s="57">
        <v>4</v>
      </c>
    </row>
    <row r="177" spans="1:11" x14ac:dyDescent="0.25">
      <c r="A177" s="42" t="s">
        <v>455</v>
      </c>
      <c r="B177" s="49" t="s">
        <v>251</v>
      </c>
      <c r="C177" s="42" t="s">
        <v>456</v>
      </c>
      <c r="D177" s="145">
        <v>283573256</v>
      </c>
      <c r="E177" s="42" t="s">
        <v>247</v>
      </c>
      <c r="F177" s="84">
        <v>40263</v>
      </c>
      <c r="G177" s="108" t="str">
        <f>CHOOSE(MONTH(F177),"Jan","Feb","Mar","Apr","May","Jun","Jul","Aug","Sep","Oct","Nov","Dec")</f>
        <v>Mar</v>
      </c>
      <c r="H177" s="54">
        <f ca="1">DATEDIF(F177,TODAY(),"Y")</f>
        <v>6</v>
      </c>
      <c r="I177" s="55" t="s">
        <v>267</v>
      </c>
      <c r="J177" s="56">
        <v>71190</v>
      </c>
      <c r="K177" s="57">
        <v>4</v>
      </c>
    </row>
    <row r="178" spans="1:11" x14ac:dyDescent="0.25">
      <c r="A178" s="42" t="s">
        <v>462</v>
      </c>
      <c r="B178" s="49" t="s">
        <v>271</v>
      </c>
      <c r="C178" s="42" t="s">
        <v>456</v>
      </c>
      <c r="D178" s="145">
        <v>358333151</v>
      </c>
      <c r="E178" s="42" t="s">
        <v>256</v>
      </c>
      <c r="F178" s="84">
        <v>33385</v>
      </c>
      <c r="G178" s="108" t="str">
        <f>CHOOSE(MONTH(F178),"Jan","Feb","Mar","Apr","May","Jun","Jul","Aug","Sep","Oct","Nov","Dec")</f>
        <v>May</v>
      </c>
      <c r="H178" s="54">
        <f ca="1">DATEDIF(F178,TODAY(),"Y")</f>
        <v>25</v>
      </c>
      <c r="I178" s="55" t="s">
        <v>257</v>
      </c>
      <c r="J178" s="56">
        <v>89140</v>
      </c>
      <c r="K178" s="57">
        <v>1</v>
      </c>
    </row>
    <row r="179" spans="1:11" x14ac:dyDescent="0.25">
      <c r="A179" s="42" t="s">
        <v>461</v>
      </c>
      <c r="B179" s="49" t="s">
        <v>280</v>
      </c>
      <c r="C179" s="42" t="s">
        <v>456</v>
      </c>
      <c r="D179" s="145">
        <v>626066280</v>
      </c>
      <c r="E179" s="42" t="s">
        <v>247</v>
      </c>
      <c r="F179" s="84">
        <v>36673</v>
      </c>
      <c r="G179" s="108" t="str">
        <f>CHOOSE(MONTH(F179),"Jan","Feb","Mar","Apr","May","Jun","Jul","Aug","Sep","Oct","Nov","Dec")</f>
        <v>May</v>
      </c>
      <c r="H179" s="54">
        <f ca="1">DATEDIF(F179,TODAY(),"Y")</f>
        <v>16</v>
      </c>
      <c r="I179" s="55" t="s">
        <v>283</v>
      </c>
      <c r="J179" s="56">
        <v>69410</v>
      </c>
      <c r="K179" s="57">
        <v>4</v>
      </c>
    </row>
    <row r="180" spans="1:11" x14ac:dyDescent="0.25">
      <c r="A180" s="42" t="s">
        <v>460</v>
      </c>
      <c r="B180" s="49" t="s">
        <v>280</v>
      </c>
      <c r="C180" s="42" t="s">
        <v>456</v>
      </c>
      <c r="D180" s="145">
        <v>610781822</v>
      </c>
      <c r="E180" s="42" t="s">
        <v>256</v>
      </c>
      <c r="F180" s="84">
        <v>37043</v>
      </c>
      <c r="G180" s="108" t="str">
        <f>CHOOSE(MONTH(F180),"Jan","Feb","Mar","Apr","May","Jun","Jul","Aug","Sep","Oct","Nov","Dec")</f>
        <v>Jun</v>
      </c>
      <c r="H180" s="54">
        <f ca="1">DATEDIF(F180,TODAY(),"Y")</f>
        <v>15</v>
      </c>
      <c r="I180" s="55" t="s">
        <v>262</v>
      </c>
      <c r="J180" s="56">
        <v>45150</v>
      </c>
      <c r="K180" s="57">
        <v>1</v>
      </c>
    </row>
    <row r="181" spans="1:11" x14ac:dyDescent="0.25">
      <c r="A181" s="42" t="s">
        <v>459</v>
      </c>
      <c r="B181" s="49" t="s">
        <v>285</v>
      </c>
      <c r="C181" s="42" t="s">
        <v>456</v>
      </c>
      <c r="D181" s="145">
        <v>717068873</v>
      </c>
      <c r="E181" s="42" t="s">
        <v>261</v>
      </c>
      <c r="F181" s="84">
        <v>37505</v>
      </c>
      <c r="G181" s="108" t="str">
        <f>CHOOSE(MONTH(F181),"Jan","Feb","Mar","Apr","May","Jun","Jul","Aug","Sep","Oct","Nov","Dec")</f>
        <v>Sep</v>
      </c>
      <c r="H181" s="54">
        <f ca="1">DATEDIF(F181,TODAY(),"Y")</f>
        <v>14</v>
      </c>
      <c r="I181" s="55" t="s">
        <v>276</v>
      </c>
      <c r="J181" s="56">
        <v>51800</v>
      </c>
      <c r="K181" s="57">
        <v>1</v>
      </c>
    </row>
    <row r="182" spans="1:11" x14ac:dyDescent="0.25">
      <c r="A182" s="42" t="s">
        <v>458</v>
      </c>
      <c r="B182" s="49" t="s">
        <v>285</v>
      </c>
      <c r="C182" s="42" t="s">
        <v>456</v>
      </c>
      <c r="D182" s="145">
        <v>439846524</v>
      </c>
      <c r="E182" s="42" t="s">
        <v>252</v>
      </c>
      <c r="F182" s="84">
        <v>37946</v>
      </c>
      <c r="G182" s="108" t="str">
        <f>CHOOSE(MONTH(F182),"Jan","Feb","Mar","Apr","May","Jun","Jul","Aug","Sep","Oct","Nov","Dec")</f>
        <v>Nov</v>
      </c>
      <c r="H182" s="54">
        <f ca="1">DATEDIF(F182,TODAY(),"Y")</f>
        <v>12</v>
      </c>
      <c r="I182" s="55" t="s">
        <v>257</v>
      </c>
      <c r="J182" s="56">
        <v>85130</v>
      </c>
      <c r="K182" s="57">
        <v>5</v>
      </c>
    </row>
    <row r="183" spans="1:11" x14ac:dyDescent="0.25">
      <c r="A183" s="42" t="s">
        <v>457</v>
      </c>
      <c r="B183" s="49" t="s">
        <v>271</v>
      </c>
      <c r="C183" s="42" t="s">
        <v>456</v>
      </c>
      <c r="D183" s="145">
        <v>643398021</v>
      </c>
      <c r="E183" s="42" t="s">
        <v>252</v>
      </c>
      <c r="F183" s="84">
        <v>36519</v>
      </c>
      <c r="G183" s="108" t="str">
        <f>CHOOSE(MONTH(F183),"Jan","Feb","Mar","Apr","May","Jun","Jul","Aug","Sep","Oct","Nov","Dec")</f>
        <v>Dec</v>
      </c>
      <c r="H183" s="54">
        <f ca="1">DATEDIF(F183,TODAY(),"Y")</f>
        <v>16</v>
      </c>
      <c r="I183" s="55" t="s">
        <v>283</v>
      </c>
      <c r="J183" s="56">
        <v>61860</v>
      </c>
      <c r="K183" s="57">
        <v>5</v>
      </c>
    </row>
    <row r="184" spans="1:11" x14ac:dyDescent="0.25">
      <c r="A184" s="42" t="s">
        <v>585</v>
      </c>
      <c r="B184" s="49" t="s">
        <v>285</v>
      </c>
      <c r="C184" s="42" t="s">
        <v>465</v>
      </c>
      <c r="D184" s="145">
        <v>388927074</v>
      </c>
      <c r="E184" s="42" t="s">
        <v>256</v>
      </c>
      <c r="F184" s="84">
        <v>33613</v>
      </c>
      <c r="G184" s="108" t="str">
        <f>CHOOSE(MONTH(F184),"Jan","Feb","Mar","Apr","May","Jun","Jul","Aug","Sep","Oct","Nov","Dec")</f>
        <v>Jan</v>
      </c>
      <c r="H184" s="54">
        <f ca="1">DATEDIF(F184,TODAY(),"Y")</f>
        <v>24</v>
      </c>
      <c r="I184" s="55" t="s">
        <v>586</v>
      </c>
      <c r="J184" s="56">
        <v>56900</v>
      </c>
      <c r="K184" s="57">
        <v>5</v>
      </c>
    </row>
    <row r="185" spans="1:11" x14ac:dyDescent="0.25">
      <c r="A185" s="42" t="s">
        <v>491</v>
      </c>
      <c r="B185" s="49" t="s">
        <v>271</v>
      </c>
      <c r="C185" s="42" t="s">
        <v>465</v>
      </c>
      <c r="D185" s="145">
        <v>489412017</v>
      </c>
      <c r="E185" s="42" t="s">
        <v>256</v>
      </c>
      <c r="F185" s="84">
        <v>33631</v>
      </c>
      <c r="G185" s="108" t="str">
        <f>CHOOSE(MONTH(F185),"Jan","Feb","Mar","Apr","May","Jun","Jul","Aug","Sep","Oct","Nov","Dec")</f>
        <v>Jan</v>
      </c>
      <c r="H185" s="54">
        <f ca="1">DATEDIF(F185,TODAY(),"Y")</f>
        <v>24</v>
      </c>
      <c r="I185" s="55" t="s">
        <v>257</v>
      </c>
      <c r="J185" s="56">
        <v>52940</v>
      </c>
      <c r="K185" s="57">
        <v>4</v>
      </c>
    </row>
    <row r="186" spans="1:11" x14ac:dyDescent="0.25">
      <c r="A186" s="42" t="s">
        <v>577</v>
      </c>
      <c r="B186" s="49" t="s">
        <v>271</v>
      </c>
      <c r="C186" s="42" t="s">
        <v>465</v>
      </c>
      <c r="D186" s="145">
        <v>112137669</v>
      </c>
      <c r="E186" s="42" t="s">
        <v>247</v>
      </c>
      <c r="F186" s="84">
        <v>33979</v>
      </c>
      <c r="G186" s="108" t="str">
        <f>CHOOSE(MONTH(F186),"Jan","Feb","Mar","Apr","May","Jun","Jul","Aug","Sep","Oct","Nov","Dec")</f>
        <v>Jan</v>
      </c>
      <c r="H186" s="54">
        <f ca="1">DATEDIF(F186,TODAY(),"Y")</f>
        <v>23</v>
      </c>
      <c r="I186" s="55"/>
      <c r="J186" s="56">
        <v>73990</v>
      </c>
      <c r="K186" s="57">
        <v>3</v>
      </c>
    </row>
    <row r="187" spans="1:11" x14ac:dyDescent="0.25">
      <c r="A187" s="42" t="s">
        <v>598</v>
      </c>
      <c r="B187" s="49" t="s">
        <v>271</v>
      </c>
      <c r="C187" s="42" t="s">
        <v>465</v>
      </c>
      <c r="D187" s="145">
        <v>307260353</v>
      </c>
      <c r="E187" s="42" t="s">
        <v>256</v>
      </c>
      <c r="F187" s="84">
        <v>33993</v>
      </c>
      <c r="G187" s="108" t="str">
        <f>CHOOSE(MONTH(F187),"Jan","Feb","Mar","Apr","May","Jun","Jul","Aug","Sep","Oct","Nov","Dec")</f>
        <v>Jan</v>
      </c>
      <c r="H187" s="54">
        <f ca="1">DATEDIF(F187,TODAY(),"Y")</f>
        <v>23</v>
      </c>
      <c r="I187" s="55" t="s">
        <v>283</v>
      </c>
      <c r="J187" s="56">
        <v>45500</v>
      </c>
      <c r="K187" s="57">
        <v>3</v>
      </c>
    </row>
    <row r="188" spans="1:11" x14ac:dyDescent="0.25">
      <c r="A188" s="42" t="s">
        <v>542</v>
      </c>
      <c r="B188" s="49" t="s">
        <v>271</v>
      </c>
      <c r="C188" s="42" t="s">
        <v>465</v>
      </c>
      <c r="D188" s="145">
        <v>332778672</v>
      </c>
      <c r="E188" s="42" t="s">
        <v>247</v>
      </c>
      <c r="F188" s="84">
        <v>35451</v>
      </c>
      <c r="G188" s="108" t="str">
        <f>CHOOSE(MONTH(F188),"Jan","Feb","Mar","Apr","May","Jun","Jul","Aug","Sep","Oct","Nov","Dec")</f>
        <v>Jan</v>
      </c>
      <c r="H188" s="54">
        <f ca="1">DATEDIF(F188,TODAY(),"Y")</f>
        <v>19</v>
      </c>
      <c r="I188" s="55"/>
      <c r="J188" s="56">
        <v>42150</v>
      </c>
      <c r="K188" s="57">
        <v>5</v>
      </c>
    </row>
    <row r="189" spans="1:11" x14ac:dyDescent="0.25">
      <c r="A189" s="42" t="s">
        <v>605</v>
      </c>
      <c r="B189" s="49" t="s">
        <v>251</v>
      </c>
      <c r="C189" s="42" t="s">
        <v>465</v>
      </c>
      <c r="D189" s="145">
        <v>359077899</v>
      </c>
      <c r="E189" s="42" t="s">
        <v>256</v>
      </c>
      <c r="F189" s="84">
        <v>35801</v>
      </c>
      <c r="G189" s="108" t="str">
        <f>CHOOSE(MONTH(F189),"Jan","Feb","Mar","Apr","May","Jun","Jul","Aug","Sep","Oct","Nov","Dec")</f>
        <v>Jan</v>
      </c>
      <c r="H189" s="54">
        <f ca="1">DATEDIF(F189,TODAY(),"Y")</f>
        <v>18</v>
      </c>
      <c r="I189" s="55" t="s">
        <v>257</v>
      </c>
      <c r="J189" s="56">
        <v>78570</v>
      </c>
      <c r="K189" s="57">
        <v>1</v>
      </c>
    </row>
    <row r="190" spans="1:11" x14ac:dyDescent="0.25">
      <c r="A190" s="42" t="s">
        <v>471</v>
      </c>
      <c r="B190" s="49" t="s">
        <v>251</v>
      </c>
      <c r="C190" s="42" t="s">
        <v>465</v>
      </c>
      <c r="D190" s="145">
        <v>340046171</v>
      </c>
      <c r="E190" s="42" t="s">
        <v>261</v>
      </c>
      <c r="F190" s="84">
        <v>35807</v>
      </c>
      <c r="G190" s="108" t="str">
        <f>CHOOSE(MONTH(F190),"Jan","Feb","Mar","Apr","May","Jun","Jul","Aug","Sep","Oct","Nov","Dec")</f>
        <v>Jan</v>
      </c>
      <c r="H190" s="54">
        <f ca="1">DATEDIF(F190,TODAY(),"Y")</f>
        <v>18</v>
      </c>
      <c r="I190" s="55" t="s">
        <v>257</v>
      </c>
      <c r="J190" s="56">
        <v>48835</v>
      </c>
      <c r="K190" s="57">
        <v>5</v>
      </c>
    </row>
    <row r="191" spans="1:11" x14ac:dyDescent="0.25">
      <c r="A191" s="42" t="s">
        <v>556</v>
      </c>
      <c r="B191" s="49" t="s">
        <v>271</v>
      </c>
      <c r="C191" s="42" t="s">
        <v>465</v>
      </c>
      <c r="D191" s="145">
        <v>951648305</v>
      </c>
      <c r="E191" s="42" t="s">
        <v>261</v>
      </c>
      <c r="F191" s="84">
        <v>36177</v>
      </c>
      <c r="G191" s="108" t="str">
        <f>CHOOSE(MONTH(F191),"Jan","Feb","Mar","Apr","May","Jun","Jul","Aug","Sep","Oct","Nov","Dec")</f>
        <v>Jan</v>
      </c>
      <c r="H191" s="54">
        <f ca="1">DATEDIF(F191,TODAY(),"Y")</f>
        <v>17</v>
      </c>
      <c r="I191" s="55" t="s">
        <v>267</v>
      </c>
      <c r="J191" s="56">
        <v>21670</v>
      </c>
      <c r="K191" s="57">
        <v>2</v>
      </c>
    </row>
    <row r="192" spans="1:11" x14ac:dyDescent="0.25">
      <c r="A192" s="42" t="s">
        <v>569</v>
      </c>
      <c r="B192" s="49" t="s">
        <v>271</v>
      </c>
      <c r="C192" s="42" t="s">
        <v>465</v>
      </c>
      <c r="D192" s="145">
        <v>898542550</v>
      </c>
      <c r="E192" s="42" t="s">
        <v>256</v>
      </c>
      <c r="F192" s="84">
        <v>36535</v>
      </c>
      <c r="G192" s="108" t="str">
        <f>CHOOSE(MONTH(F192),"Jan","Feb","Mar","Apr","May","Jun","Jul","Aug","Sep","Oct","Nov","Dec")</f>
        <v>Jan</v>
      </c>
      <c r="H192" s="54">
        <f ca="1">DATEDIF(F192,TODAY(),"Y")</f>
        <v>16</v>
      </c>
      <c r="I192" s="55" t="s">
        <v>257</v>
      </c>
      <c r="J192" s="56">
        <v>76192</v>
      </c>
      <c r="K192" s="57">
        <v>4</v>
      </c>
    </row>
    <row r="193" spans="1:11" x14ac:dyDescent="0.25">
      <c r="A193" s="42" t="s">
        <v>588</v>
      </c>
      <c r="B193" s="49" t="s">
        <v>285</v>
      </c>
      <c r="C193" s="42" t="s">
        <v>465</v>
      </c>
      <c r="D193" s="145">
        <v>926056673</v>
      </c>
      <c r="E193" s="42" t="s">
        <v>247</v>
      </c>
      <c r="F193" s="84">
        <v>37634</v>
      </c>
      <c r="G193" s="108" t="str">
        <f>CHOOSE(MONTH(F193),"Jan","Feb","Mar","Apr","May","Jun","Jul","Aug","Sep","Oct","Nov","Dec")</f>
        <v>Jan</v>
      </c>
      <c r="H193" s="54">
        <f ca="1">DATEDIF(F193,TODAY(),"Y")</f>
        <v>13</v>
      </c>
      <c r="I193" s="55"/>
      <c r="J193" s="56">
        <v>61370</v>
      </c>
      <c r="K193" s="57">
        <v>3</v>
      </c>
    </row>
    <row r="194" spans="1:11" x14ac:dyDescent="0.25">
      <c r="A194" s="42" t="s">
        <v>499</v>
      </c>
      <c r="B194" s="49" t="s">
        <v>280</v>
      </c>
      <c r="C194" s="42" t="s">
        <v>465</v>
      </c>
      <c r="D194" s="145">
        <v>359916618</v>
      </c>
      <c r="E194" s="42" t="s">
        <v>256</v>
      </c>
      <c r="F194" s="84">
        <v>38377</v>
      </c>
      <c r="G194" s="108" t="str">
        <f>CHOOSE(MONTH(F194),"Jan","Feb","Mar","Apr","May","Jun","Jul","Aug","Sep","Oct","Nov","Dec")</f>
        <v>Jan</v>
      </c>
      <c r="H194" s="54">
        <f ca="1">DATEDIF(F194,TODAY(),"Y")</f>
        <v>11</v>
      </c>
      <c r="I194" s="55" t="s">
        <v>257</v>
      </c>
      <c r="J194" s="56">
        <v>41060</v>
      </c>
      <c r="K194" s="57">
        <v>3</v>
      </c>
    </row>
    <row r="195" spans="1:11" x14ac:dyDescent="0.25">
      <c r="A195" s="42" t="s">
        <v>608</v>
      </c>
      <c r="B195" s="49" t="s">
        <v>285</v>
      </c>
      <c r="C195" s="42" t="s">
        <v>465</v>
      </c>
      <c r="D195" s="145">
        <v>918123448</v>
      </c>
      <c r="E195" s="42" t="s">
        <v>256</v>
      </c>
      <c r="F195" s="84">
        <v>38377</v>
      </c>
      <c r="G195" s="108" t="str">
        <f>CHOOSE(MONTH(F195),"Jan","Feb","Mar","Apr","May","Jun","Jul","Aug","Sep","Oct","Nov","Dec")</f>
        <v>Jan</v>
      </c>
      <c r="H195" s="54">
        <f ca="1">DATEDIF(F195,TODAY(),"Y")</f>
        <v>11</v>
      </c>
      <c r="I195" s="55" t="s">
        <v>257</v>
      </c>
      <c r="J195" s="56">
        <v>87760</v>
      </c>
      <c r="K195" s="57">
        <v>1</v>
      </c>
    </row>
    <row r="196" spans="1:11" x14ac:dyDescent="0.25">
      <c r="A196" s="42" t="s">
        <v>507</v>
      </c>
      <c r="B196" s="49" t="s">
        <v>245</v>
      </c>
      <c r="C196" s="42" t="s">
        <v>465</v>
      </c>
      <c r="D196" s="145">
        <v>532017859</v>
      </c>
      <c r="E196" s="42" t="s">
        <v>256</v>
      </c>
      <c r="F196" s="84">
        <v>38733</v>
      </c>
      <c r="G196" s="108" t="str">
        <f>CHOOSE(MONTH(F196),"Jan","Feb","Mar","Apr","May","Jun","Jul","Aug","Sep","Oct","Nov","Dec")</f>
        <v>Jan</v>
      </c>
      <c r="H196" s="54">
        <f ca="1">DATEDIF(F196,TODAY(),"Y")</f>
        <v>10</v>
      </c>
      <c r="I196" s="55" t="s">
        <v>276</v>
      </c>
      <c r="J196" s="56">
        <v>68710</v>
      </c>
      <c r="K196" s="57">
        <v>4</v>
      </c>
    </row>
    <row r="197" spans="1:11" x14ac:dyDescent="0.25">
      <c r="A197" s="42" t="s">
        <v>593</v>
      </c>
      <c r="B197" s="49" t="s">
        <v>245</v>
      </c>
      <c r="C197" s="42" t="s">
        <v>465</v>
      </c>
      <c r="D197" s="145">
        <v>634708460</v>
      </c>
      <c r="E197" s="42" t="s">
        <v>252</v>
      </c>
      <c r="F197" s="84">
        <v>39087</v>
      </c>
      <c r="G197" s="108" t="str">
        <f>CHOOSE(MONTH(F197),"Jan","Feb","Mar","Apr","May","Jun","Jul","Aug","Sep","Oct","Nov","Dec")</f>
        <v>Jan</v>
      </c>
      <c r="H197" s="54">
        <f ca="1">DATEDIF(F197,TODAY(),"Y")</f>
        <v>9</v>
      </c>
      <c r="I197" s="55"/>
      <c r="J197" s="56">
        <v>14416</v>
      </c>
      <c r="K197" s="57">
        <v>4</v>
      </c>
    </row>
    <row r="198" spans="1:11" x14ac:dyDescent="0.25">
      <c r="A198" s="42" t="s">
        <v>501</v>
      </c>
      <c r="B198" s="49" t="s">
        <v>266</v>
      </c>
      <c r="C198" s="42" t="s">
        <v>465</v>
      </c>
      <c r="D198" s="145">
        <v>306612250</v>
      </c>
      <c r="E198" s="42" t="s">
        <v>256</v>
      </c>
      <c r="F198" s="84">
        <v>39455</v>
      </c>
      <c r="G198" s="108" t="str">
        <f>CHOOSE(MONTH(F198),"Jan","Feb","Mar","Apr","May","Jun","Jul","Aug","Sep","Oct","Nov","Dec")</f>
        <v>Jan</v>
      </c>
      <c r="H198" s="54">
        <f ca="1">DATEDIF(F198,TODAY(),"Y")</f>
        <v>8</v>
      </c>
      <c r="I198" s="55" t="s">
        <v>283</v>
      </c>
      <c r="J198" s="56">
        <v>59420</v>
      </c>
      <c r="K198" s="57">
        <v>4</v>
      </c>
    </row>
    <row r="199" spans="1:11" x14ac:dyDescent="0.25">
      <c r="A199" s="42" t="s">
        <v>500</v>
      </c>
      <c r="B199" s="49" t="s">
        <v>245</v>
      </c>
      <c r="C199" s="42" t="s">
        <v>465</v>
      </c>
      <c r="D199" s="145">
        <v>683673351</v>
      </c>
      <c r="E199" s="42" t="s">
        <v>247</v>
      </c>
      <c r="F199" s="84">
        <v>39822</v>
      </c>
      <c r="G199" s="108" t="str">
        <f>CHOOSE(MONTH(F199),"Jan","Feb","Mar","Apr","May","Jun","Jul","Aug","Sep","Oct","Nov","Dec")</f>
        <v>Jan</v>
      </c>
      <c r="H199" s="54">
        <f ca="1">DATEDIF(F199,TODAY(),"Y")</f>
        <v>7</v>
      </c>
      <c r="I199" s="55"/>
      <c r="J199" s="56">
        <v>60040</v>
      </c>
      <c r="K199" s="57">
        <v>5</v>
      </c>
    </row>
    <row r="200" spans="1:11" x14ac:dyDescent="0.25">
      <c r="A200" s="42" t="s">
        <v>589</v>
      </c>
      <c r="B200" s="49" t="s">
        <v>245</v>
      </c>
      <c r="C200" s="42" t="s">
        <v>465</v>
      </c>
      <c r="D200" s="145">
        <v>126661983</v>
      </c>
      <c r="E200" s="42" t="s">
        <v>247</v>
      </c>
      <c r="F200" s="84">
        <v>39830</v>
      </c>
      <c r="G200" s="108" t="str">
        <f>CHOOSE(MONTH(F200),"Jan","Feb","Mar","Apr","May","Jun","Jul","Aug","Sep","Oct","Nov","Dec")</f>
        <v>Jan</v>
      </c>
      <c r="H200" s="54">
        <f ca="1">DATEDIF(F200,TODAY(),"Y")</f>
        <v>7</v>
      </c>
      <c r="I200" s="55"/>
      <c r="J200" s="56">
        <v>78520</v>
      </c>
      <c r="K200" s="57">
        <v>4</v>
      </c>
    </row>
    <row r="201" spans="1:11" x14ac:dyDescent="0.25">
      <c r="A201" s="42" t="s">
        <v>547</v>
      </c>
      <c r="B201" s="49" t="s">
        <v>285</v>
      </c>
      <c r="C201" s="42" t="s">
        <v>465</v>
      </c>
      <c r="D201" s="145">
        <v>468814781</v>
      </c>
      <c r="E201" s="42" t="s">
        <v>256</v>
      </c>
      <c r="F201" s="84">
        <v>40203</v>
      </c>
      <c r="G201" s="108" t="str">
        <f>CHOOSE(MONTH(F201),"Jan","Feb","Mar","Apr","May","Jun","Jul","Aug","Sep","Oct","Nov","Dec")</f>
        <v>Jan</v>
      </c>
      <c r="H201" s="54">
        <f ca="1">DATEDIF(F201,TODAY(),"Y")</f>
        <v>6</v>
      </c>
      <c r="I201" s="55" t="s">
        <v>257</v>
      </c>
      <c r="J201" s="56">
        <v>35600</v>
      </c>
      <c r="K201" s="57">
        <v>5</v>
      </c>
    </row>
    <row r="202" spans="1:11" x14ac:dyDescent="0.25">
      <c r="A202" s="42" t="s">
        <v>485</v>
      </c>
      <c r="B202" s="49" t="s">
        <v>271</v>
      </c>
      <c r="C202" s="42" t="s">
        <v>465</v>
      </c>
      <c r="D202" s="145">
        <v>399691239</v>
      </c>
      <c r="E202" s="42" t="s">
        <v>252</v>
      </c>
      <c r="F202" s="84">
        <v>40574</v>
      </c>
      <c r="G202" s="108" t="str">
        <f>CHOOSE(MONTH(F202),"Jan","Feb","Mar","Apr","May","Jun","Jul","Aug","Sep","Oct","Nov","Dec")</f>
        <v>Jan</v>
      </c>
      <c r="H202" s="54">
        <f ca="1">DATEDIF(F202,TODAY(),"Y")</f>
        <v>5</v>
      </c>
      <c r="I202" s="55"/>
      <c r="J202" s="56">
        <v>28424</v>
      </c>
      <c r="K202" s="57">
        <v>4</v>
      </c>
    </row>
    <row r="203" spans="1:11" x14ac:dyDescent="0.25">
      <c r="A203" s="42" t="s">
        <v>529</v>
      </c>
      <c r="B203" s="49" t="s">
        <v>271</v>
      </c>
      <c r="C203" s="42" t="s">
        <v>465</v>
      </c>
      <c r="D203" s="145">
        <v>755781501</v>
      </c>
      <c r="E203" s="42" t="s">
        <v>256</v>
      </c>
      <c r="F203" s="84">
        <v>33648</v>
      </c>
      <c r="G203" s="108" t="str">
        <f>CHOOSE(MONTH(F203),"Jan","Feb","Mar","Apr","May","Jun","Jul","Aug","Sep","Oct","Nov","Dec")</f>
        <v>Feb</v>
      </c>
      <c r="H203" s="54">
        <f ca="1">DATEDIF(F203,TODAY(),"Y")</f>
        <v>24</v>
      </c>
      <c r="I203" s="55" t="s">
        <v>276</v>
      </c>
      <c r="J203" s="56">
        <v>60380</v>
      </c>
      <c r="K203" s="57">
        <v>4</v>
      </c>
    </row>
    <row r="204" spans="1:11" x14ac:dyDescent="0.25">
      <c r="A204" s="42" t="s">
        <v>559</v>
      </c>
      <c r="B204" s="49" t="s">
        <v>245</v>
      </c>
      <c r="C204" s="42" t="s">
        <v>465</v>
      </c>
      <c r="D204" s="145">
        <v>959095564</v>
      </c>
      <c r="E204" s="42" t="s">
        <v>252</v>
      </c>
      <c r="F204" s="84">
        <v>35829</v>
      </c>
      <c r="G204" s="108" t="str">
        <f>CHOOSE(MONTH(F204),"Jan","Feb","Mar","Apr","May","Jun","Jul","Aug","Sep","Oct","Nov","Dec")</f>
        <v>Feb</v>
      </c>
      <c r="H204" s="54">
        <f ca="1">DATEDIF(F204,TODAY(),"Y")</f>
        <v>18</v>
      </c>
      <c r="I204" s="55"/>
      <c r="J204" s="56">
        <v>29176</v>
      </c>
      <c r="K204" s="57">
        <v>3</v>
      </c>
    </row>
    <row r="205" spans="1:11" x14ac:dyDescent="0.25">
      <c r="A205" s="42" t="s">
        <v>609</v>
      </c>
      <c r="B205" s="49" t="s">
        <v>266</v>
      </c>
      <c r="C205" s="42" t="s">
        <v>465</v>
      </c>
      <c r="D205" s="145">
        <v>556225705</v>
      </c>
      <c r="E205" s="42" t="s">
        <v>256</v>
      </c>
      <c r="F205" s="84">
        <v>35830</v>
      </c>
      <c r="G205" s="108" t="str">
        <f>CHOOSE(MONTH(F205),"Jan","Feb","Mar","Apr","May","Jun","Jul","Aug","Sep","Oct","Nov","Dec")</f>
        <v>Feb</v>
      </c>
      <c r="H205" s="54">
        <f ca="1">DATEDIF(F205,TODAY(),"Y")</f>
        <v>18</v>
      </c>
      <c r="I205" s="55" t="s">
        <v>267</v>
      </c>
      <c r="J205" s="56">
        <v>35460</v>
      </c>
      <c r="K205" s="57">
        <v>5</v>
      </c>
    </row>
    <row r="206" spans="1:11" x14ac:dyDescent="0.25">
      <c r="A206" s="42" t="s">
        <v>486</v>
      </c>
      <c r="B206" s="49" t="s">
        <v>251</v>
      </c>
      <c r="C206" s="42" t="s">
        <v>465</v>
      </c>
      <c r="D206" s="145">
        <v>891372488</v>
      </c>
      <c r="E206" s="42" t="s">
        <v>256</v>
      </c>
      <c r="F206" s="84">
        <v>36198</v>
      </c>
      <c r="G206" s="108" t="str">
        <f>CHOOSE(MONTH(F206),"Jan","Feb","Mar","Apr","May","Jun","Jul","Aug","Sep","Oct","Nov","Dec")</f>
        <v>Feb</v>
      </c>
      <c r="H206" s="54">
        <f ca="1">DATEDIF(F206,TODAY(),"Y")</f>
        <v>17</v>
      </c>
      <c r="I206" s="55" t="s">
        <v>276</v>
      </c>
      <c r="J206" s="56">
        <v>81400</v>
      </c>
      <c r="K206" s="57">
        <v>2</v>
      </c>
    </row>
    <row r="207" spans="1:11" x14ac:dyDescent="0.25">
      <c r="A207" s="42" t="s">
        <v>489</v>
      </c>
      <c r="B207" s="49" t="s">
        <v>285</v>
      </c>
      <c r="C207" s="42" t="s">
        <v>465</v>
      </c>
      <c r="D207" s="145">
        <v>156666486</v>
      </c>
      <c r="E207" s="42" t="s">
        <v>247</v>
      </c>
      <c r="F207" s="84">
        <v>38044</v>
      </c>
      <c r="G207" s="108" t="str">
        <f>CHOOSE(MONTH(F207),"Jan","Feb","Mar","Apr","May","Jun","Jul","Aug","Sep","Oct","Nov","Dec")</f>
        <v>Feb</v>
      </c>
      <c r="H207" s="54">
        <f ca="1">DATEDIF(F207,TODAY(),"Y")</f>
        <v>12</v>
      </c>
      <c r="I207" s="55"/>
      <c r="J207" s="56">
        <v>57410</v>
      </c>
      <c r="K207" s="57">
        <v>2</v>
      </c>
    </row>
    <row r="208" spans="1:11" x14ac:dyDescent="0.25">
      <c r="A208" s="42" t="s">
        <v>481</v>
      </c>
      <c r="B208" s="49" t="s">
        <v>245</v>
      </c>
      <c r="C208" s="42" t="s">
        <v>465</v>
      </c>
      <c r="D208" s="145">
        <v>949120892</v>
      </c>
      <c r="E208" s="42" t="s">
        <v>256</v>
      </c>
      <c r="F208" s="84">
        <v>40578</v>
      </c>
      <c r="G208" s="108" t="str">
        <f>CHOOSE(MONTH(F208),"Jan","Feb","Mar","Apr","May","Jun","Jul","Aug","Sep","Oct","Nov","Dec")</f>
        <v>Feb</v>
      </c>
      <c r="H208" s="54">
        <f ca="1">DATEDIF(F208,TODAY(),"Y")</f>
        <v>5</v>
      </c>
      <c r="I208" s="55" t="s">
        <v>257</v>
      </c>
      <c r="J208" s="56">
        <v>43820</v>
      </c>
      <c r="K208" s="57">
        <v>2</v>
      </c>
    </row>
    <row r="209" spans="1:11" x14ac:dyDescent="0.25">
      <c r="A209" s="42" t="s">
        <v>474</v>
      </c>
      <c r="B209" s="49" t="s">
        <v>251</v>
      </c>
      <c r="C209" s="42" t="s">
        <v>465</v>
      </c>
      <c r="D209" s="145">
        <v>825315627</v>
      </c>
      <c r="E209" s="42" t="s">
        <v>247</v>
      </c>
      <c r="F209" s="84">
        <v>34031</v>
      </c>
      <c r="G209" s="108" t="str">
        <f>CHOOSE(MONTH(F209),"Jan","Feb","Mar","Apr","May","Jun","Jul","Aug","Sep","Oct","Nov","Dec")</f>
        <v>Mar</v>
      </c>
      <c r="H209" s="54">
        <f ca="1">DATEDIF(F209,TODAY(),"Y")</f>
        <v>23</v>
      </c>
      <c r="I209" s="55"/>
      <c r="J209" s="56">
        <v>64430</v>
      </c>
      <c r="K209" s="57">
        <v>4</v>
      </c>
    </row>
    <row r="210" spans="1:11" x14ac:dyDescent="0.25">
      <c r="A210" s="42" t="s">
        <v>565</v>
      </c>
      <c r="B210" s="49" t="s">
        <v>245</v>
      </c>
      <c r="C210" s="42" t="s">
        <v>465</v>
      </c>
      <c r="D210" s="145">
        <v>141405985</v>
      </c>
      <c r="E210" s="42" t="s">
        <v>247</v>
      </c>
      <c r="F210" s="84">
        <v>34053</v>
      </c>
      <c r="G210" s="108" t="str">
        <f>CHOOSE(MONTH(F210),"Jan","Feb","Mar","Apr","May","Jun","Jul","Aug","Sep","Oct","Nov","Dec")</f>
        <v>Mar</v>
      </c>
      <c r="H210" s="54">
        <f ca="1">DATEDIF(F210,TODAY(),"Y")</f>
        <v>23</v>
      </c>
      <c r="I210" s="55"/>
      <c r="J210" s="56">
        <v>79220</v>
      </c>
      <c r="K210" s="57">
        <v>4</v>
      </c>
    </row>
    <row r="211" spans="1:11" x14ac:dyDescent="0.25">
      <c r="A211" s="42" t="s">
        <v>518</v>
      </c>
      <c r="B211" s="49" t="s">
        <v>271</v>
      </c>
      <c r="C211" s="42" t="s">
        <v>465</v>
      </c>
      <c r="D211" s="145">
        <v>773946427</v>
      </c>
      <c r="E211" s="42" t="s">
        <v>256</v>
      </c>
      <c r="F211" s="84">
        <v>34404</v>
      </c>
      <c r="G211" s="108" t="str">
        <f>CHOOSE(MONTH(F211),"Jan","Feb","Mar","Apr","May","Jun","Jul","Aug","Sep","Oct","Nov","Dec")</f>
        <v>Mar</v>
      </c>
      <c r="H211" s="54">
        <f ca="1">DATEDIF(F211,TODAY(),"Y")</f>
        <v>22</v>
      </c>
      <c r="I211" s="55" t="s">
        <v>283</v>
      </c>
      <c r="J211" s="56">
        <v>24710</v>
      </c>
      <c r="K211" s="57">
        <v>2</v>
      </c>
    </row>
    <row r="212" spans="1:11" x14ac:dyDescent="0.25">
      <c r="A212" s="42" t="s">
        <v>582</v>
      </c>
      <c r="B212" s="49" t="s">
        <v>251</v>
      </c>
      <c r="C212" s="42" t="s">
        <v>465</v>
      </c>
      <c r="D212" s="145">
        <v>536599126</v>
      </c>
      <c r="E212" s="42" t="s">
        <v>256</v>
      </c>
      <c r="F212" s="84">
        <v>34785</v>
      </c>
      <c r="G212" s="108" t="str">
        <f>CHOOSE(MONTH(F212),"Jan","Feb","Mar","Apr","May","Jun","Jul","Aug","Sep","Oct","Nov","Dec")</f>
        <v>Mar</v>
      </c>
      <c r="H212" s="54">
        <f ca="1">DATEDIF(F212,TODAY(),"Y")</f>
        <v>21</v>
      </c>
      <c r="I212" s="55" t="s">
        <v>257</v>
      </c>
      <c r="J212" s="56">
        <v>24300</v>
      </c>
      <c r="K212" s="57">
        <v>3</v>
      </c>
    </row>
    <row r="213" spans="1:11" x14ac:dyDescent="0.25">
      <c r="A213" s="42" t="s">
        <v>595</v>
      </c>
      <c r="B213" s="49" t="s">
        <v>245</v>
      </c>
      <c r="C213" s="42" t="s">
        <v>465</v>
      </c>
      <c r="D213" s="145">
        <v>691396332</v>
      </c>
      <c r="E213" s="42" t="s">
        <v>252</v>
      </c>
      <c r="F213" s="84">
        <v>35490</v>
      </c>
      <c r="G213" s="108" t="str">
        <f>CHOOSE(MONTH(F213),"Jan","Feb","Mar","Apr","May","Jun","Jul","Aug","Sep","Oct","Nov","Dec")</f>
        <v>Mar</v>
      </c>
      <c r="H213" s="54">
        <f ca="1">DATEDIF(F213,TODAY(),"Y")</f>
        <v>19</v>
      </c>
      <c r="I213" s="55"/>
      <c r="J213" s="56">
        <v>22472</v>
      </c>
      <c r="K213" s="57">
        <v>1</v>
      </c>
    </row>
    <row r="214" spans="1:11" x14ac:dyDescent="0.25">
      <c r="A214" s="42" t="s">
        <v>477</v>
      </c>
      <c r="B214" s="49" t="s">
        <v>245</v>
      </c>
      <c r="C214" s="42" t="s">
        <v>465</v>
      </c>
      <c r="D214" s="145">
        <v>863702508</v>
      </c>
      <c r="E214" s="42" t="s">
        <v>256</v>
      </c>
      <c r="F214" s="84">
        <v>35511</v>
      </c>
      <c r="G214" s="108" t="str">
        <f>CHOOSE(MONTH(F214),"Jan","Feb","Mar","Apr","May","Jun","Jul","Aug","Sep","Oct","Nov","Dec")</f>
        <v>Mar</v>
      </c>
      <c r="H214" s="54">
        <f ca="1">DATEDIF(F214,TODAY(),"Y")</f>
        <v>19</v>
      </c>
      <c r="I214" s="55" t="s">
        <v>283</v>
      </c>
      <c r="J214" s="56">
        <v>73144</v>
      </c>
      <c r="K214" s="57">
        <v>5</v>
      </c>
    </row>
    <row r="215" spans="1:11" x14ac:dyDescent="0.25">
      <c r="A215" s="42" t="s">
        <v>464</v>
      </c>
      <c r="B215" s="49" t="s">
        <v>271</v>
      </c>
      <c r="C215" s="42" t="s">
        <v>465</v>
      </c>
      <c r="D215" s="145">
        <v>547179168</v>
      </c>
      <c r="E215" s="42" t="s">
        <v>256</v>
      </c>
      <c r="F215" s="84">
        <v>35520</v>
      </c>
      <c r="G215" s="108" t="str">
        <f>CHOOSE(MONTH(F215),"Jan","Feb","Mar","Apr","May","Jun","Jul","Aug","Sep","Oct","Nov","Dec")</f>
        <v>Mar</v>
      </c>
      <c r="H215" s="54">
        <f ca="1">DATEDIF(F215,TODAY(),"Y")</f>
        <v>19</v>
      </c>
      <c r="I215" s="55" t="s">
        <v>257</v>
      </c>
      <c r="J215" s="56">
        <v>79730</v>
      </c>
      <c r="K215" s="57">
        <v>2</v>
      </c>
    </row>
    <row r="216" spans="1:11" x14ac:dyDescent="0.25">
      <c r="A216" s="42" t="s">
        <v>494</v>
      </c>
      <c r="B216" s="49" t="s">
        <v>280</v>
      </c>
      <c r="C216" s="42" t="s">
        <v>465</v>
      </c>
      <c r="D216" s="145">
        <v>645259793</v>
      </c>
      <c r="E216" s="42" t="s">
        <v>247</v>
      </c>
      <c r="F216" s="84">
        <v>36600</v>
      </c>
      <c r="G216" s="108" t="str">
        <f>CHOOSE(MONTH(F216),"Jan","Feb","Mar","Apr","May","Jun","Jul","Aug","Sep","Oct","Nov","Dec")</f>
        <v>Mar</v>
      </c>
      <c r="H216" s="54">
        <f ca="1">DATEDIF(F216,TODAY(),"Y")</f>
        <v>16</v>
      </c>
      <c r="I216" s="55"/>
      <c r="J216" s="56">
        <v>41840</v>
      </c>
      <c r="K216" s="57">
        <v>2</v>
      </c>
    </row>
    <row r="217" spans="1:11" x14ac:dyDescent="0.25">
      <c r="A217" s="42" t="s">
        <v>476</v>
      </c>
      <c r="B217" s="49" t="s">
        <v>285</v>
      </c>
      <c r="C217" s="42" t="s">
        <v>465</v>
      </c>
      <c r="D217" s="145">
        <v>971001952</v>
      </c>
      <c r="E217" s="42" t="s">
        <v>261</v>
      </c>
      <c r="F217" s="84">
        <v>36604</v>
      </c>
      <c r="G217" s="108" t="str">
        <f>CHOOSE(MONTH(F217),"Jan","Feb","Mar","Apr","May","Jun","Jul","Aug","Sep","Oct","Nov","Dec")</f>
        <v>Mar</v>
      </c>
      <c r="H217" s="54">
        <f ca="1">DATEDIF(F217,TODAY(),"Y")</f>
        <v>16</v>
      </c>
      <c r="I217" s="55" t="s">
        <v>283</v>
      </c>
      <c r="J217" s="56">
        <v>46710</v>
      </c>
      <c r="K217" s="57">
        <v>3</v>
      </c>
    </row>
    <row r="218" spans="1:11" x14ac:dyDescent="0.25">
      <c r="A218" s="42" t="s">
        <v>540</v>
      </c>
      <c r="B218" s="49" t="s">
        <v>285</v>
      </c>
      <c r="C218" s="42" t="s">
        <v>465</v>
      </c>
      <c r="D218" s="145">
        <v>280003550</v>
      </c>
      <c r="E218" s="42" t="s">
        <v>247</v>
      </c>
      <c r="F218" s="84">
        <v>36977</v>
      </c>
      <c r="G218" s="108" t="str">
        <f>CHOOSE(MONTH(F218),"Jan","Feb","Mar","Apr","May","Jun","Jul","Aug","Sep","Oct","Nov","Dec")</f>
        <v>Mar</v>
      </c>
      <c r="H218" s="54">
        <f ca="1">DATEDIF(F218,TODAY(),"Y")</f>
        <v>15</v>
      </c>
      <c r="I218" s="55"/>
      <c r="J218" s="56">
        <v>68510</v>
      </c>
      <c r="K218" s="57">
        <v>5</v>
      </c>
    </row>
    <row r="219" spans="1:11" x14ac:dyDescent="0.25">
      <c r="A219" s="42" t="s">
        <v>590</v>
      </c>
      <c r="B219" s="49" t="s">
        <v>251</v>
      </c>
      <c r="C219" s="42" t="s">
        <v>465</v>
      </c>
      <c r="D219" s="145">
        <v>359672908</v>
      </c>
      <c r="E219" s="42" t="s">
        <v>247</v>
      </c>
      <c r="F219" s="84">
        <v>37326</v>
      </c>
      <c r="G219" s="108" t="str">
        <f>CHOOSE(MONTH(F219),"Jan","Feb","Mar","Apr","May","Jun","Jul","Aug","Sep","Oct","Nov","Dec")</f>
        <v>Mar</v>
      </c>
      <c r="H219" s="54">
        <f ca="1">DATEDIF(F219,TODAY(),"Y")</f>
        <v>14</v>
      </c>
      <c r="I219" s="55"/>
      <c r="J219" s="56">
        <v>52770</v>
      </c>
      <c r="K219" s="57">
        <v>2</v>
      </c>
    </row>
    <row r="220" spans="1:11" x14ac:dyDescent="0.25">
      <c r="A220" s="42" t="s">
        <v>602</v>
      </c>
      <c r="B220" s="49" t="s">
        <v>271</v>
      </c>
      <c r="C220" s="42" t="s">
        <v>465</v>
      </c>
      <c r="D220" s="145">
        <v>520887092</v>
      </c>
      <c r="E220" s="42" t="s">
        <v>256</v>
      </c>
      <c r="F220" s="84">
        <v>37331</v>
      </c>
      <c r="G220" s="108" t="str">
        <f>CHOOSE(MONTH(F220),"Jan","Feb","Mar","Apr","May","Jun","Jul","Aug","Sep","Oct","Nov","Dec")</f>
        <v>Mar</v>
      </c>
      <c r="H220" s="54">
        <f ca="1">DATEDIF(F220,TODAY(),"Y")</f>
        <v>14</v>
      </c>
      <c r="I220" s="55" t="s">
        <v>283</v>
      </c>
      <c r="J220" s="56">
        <v>62750</v>
      </c>
      <c r="K220" s="57">
        <v>3</v>
      </c>
    </row>
    <row r="221" spans="1:11" x14ac:dyDescent="0.25">
      <c r="A221" s="42" t="s">
        <v>587</v>
      </c>
      <c r="B221" s="49" t="s">
        <v>285</v>
      </c>
      <c r="C221" s="42" t="s">
        <v>465</v>
      </c>
      <c r="D221" s="145">
        <v>799114221</v>
      </c>
      <c r="E221" s="42" t="s">
        <v>247</v>
      </c>
      <c r="F221" s="84">
        <v>38073</v>
      </c>
      <c r="G221" s="108" t="str">
        <f>CHOOSE(MONTH(F221),"Jan","Feb","Mar","Apr","May","Jun","Jul","Aug","Sep","Oct","Nov","Dec")</f>
        <v>Mar</v>
      </c>
      <c r="H221" s="54">
        <f ca="1">DATEDIF(F221,TODAY(),"Y")</f>
        <v>12</v>
      </c>
      <c r="I221" s="55"/>
      <c r="J221" s="56">
        <v>39300</v>
      </c>
      <c r="K221" s="57">
        <v>2</v>
      </c>
    </row>
    <row r="222" spans="1:11" x14ac:dyDescent="0.25">
      <c r="A222" s="42" t="s">
        <v>475</v>
      </c>
      <c r="B222" s="49" t="s">
        <v>245</v>
      </c>
      <c r="C222" s="42" t="s">
        <v>465</v>
      </c>
      <c r="D222" s="145">
        <v>399534023</v>
      </c>
      <c r="E222" s="42" t="s">
        <v>247</v>
      </c>
      <c r="F222" s="84">
        <v>39538</v>
      </c>
      <c r="G222" s="108" t="str">
        <f>CHOOSE(MONTH(F222),"Jan","Feb","Mar","Apr","May","Jun","Jul","Aug","Sep","Oct","Nov","Dec")</f>
        <v>Mar</v>
      </c>
      <c r="H222" s="54">
        <f ca="1">DATEDIF(F222,TODAY(),"Y")</f>
        <v>8</v>
      </c>
      <c r="I222" s="55"/>
      <c r="J222" s="56">
        <v>62780</v>
      </c>
      <c r="K222" s="57">
        <v>4</v>
      </c>
    </row>
    <row r="223" spans="1:11" x14ac:dyDescent="0.25">
      <c r="A223" s="42" t="s">
        <v>520</v>
      </c>
      <c r="B223" s="49" t="s">
        <v>285</v>
      </c>
      <c r="C223" s="42" t="s">
        <v>465</v>
      </c>
      <c r="D223" s="145">
        <v>166595911</v>
      </c>
      <c r="E223" s="42" t="s">
        <v>256</v>
      </c>
      <c r="F223" s="106">
        <v>40603</v>
      </c>
      <c r="G223" s="108" t="str">
        <f>CHOOSE(MONTH(F223),"Jan","Feb","Mar","Apr","May","Jun","Jul","Aug","Sep","Oct","Nov","Dec")</f>
        <v>Mar</v>
      </c>
      <c r="H223" s="54">
        <f ca="1">DATEDIF(F223,TODAY(),"Y")</f>
        <v>5</v>
      </c>
      <c r="I223" s="55" t="s">
        <v>267</v>
      </c>
      <c r="J223" s="56">
        <v>44260</v>
      </c>
      <c r="K223" s="57">
        <v>1</v>
      </c>
    </row>
    <row r="224" spans="1:11" x14ac:dyDescent="0.25">
      <c r="A224" s="42" t="s">
        <v>523</v>
      </c>
      <c r="B224" s="49" t="s">
        <v>245</v>
      </c>
      <c r="C224" s="42" t="s">
        <v>465</v>
      </c>
      <c r="D224" s="145">
        <v>577770133</v>
      </c>
      <c r="E224" s="42" t="s">
        <v>256</v>
      </c>
      <c r="F224" s="84">
        <v>33720</v>
      </c>
      <c r="G224" s="108" t="str">
        <f>CHOOSE(MONTH(F224),"Jan","Feb","Mar","Apr","May","Jun","Jul","Aug","Sep","Oct","Nov","Dec")</f>
        <v>Apr</v>
      </c>
      <c r="H224" s="54">
        <f ca="1">DATEDIF(F224,TODAY(),"Y")</f>
        <v>24</v>
      </c>
      <c r="I224" s="55" t="s">
        <v>283</v>
      </c>
      <c r="J224" s="56">
        <v>58910</v>
      </c>
      <c r="K224" s="57">
        <v>1</v>
      </c>
    </row>
    <row r="225" spans="1:11" x14ac:dyDescent="0.25">
      <c r="A225" s="42" t="s">
        <v>519</v>
      </c>
      <c r="B225" s="49" t="s">
        <v>271</v>
      </c>
      <c r="C225" s="42" t="s">
        <v>465</v>
      </c>
      <c r="D225" s="145">
        <v>561988416</v>
      </c>
      <c r="E225" s="42" t="s">
        <v>256</v>
      </c>
      <c r="F225" s="84">
        <v>33721</v>
      </c>
      <c r="G225" s="108" t="str">
        <f>CHOOSE(MONTH(F225),"Jan","Feb","Mar","Apr","May","Jun","Jul","Aug","Sep","Oct","Nov","Dec")</f>
        <v>Apr</v>
      </c>
      <c r="H225" s="54">
        <f ca="1">DATEDIF(F225,TODAY(),"Y")</f>
        <v>24</v>
      </c>
      <c r="I225" s="55" t="s">
        <v>283</v>
      </c>
      <c r="J225" s="56">
        <v>26190</v>
      </c>
      <c r="K225" s="57">
        <v>5</v>
      </c>
    </row>
    <row r="226" spans="1:11" x14ac:dyDescent="0.25">
      <c r="A226" s="42" t="s">
        <v>487</v>
      </c>
      <c r="B226" s="49" t="s">
        <v>280</v>
      </c>
      <c r="C226" s="42" t="s">
        <v>465</v>
      </c>
      <c r="D226" s="145">
        <v>689224971</v>
      </c>
      <c r="E226" s="42" t="s">
        <v>256</v>
      </c>
      <c r="F226" s="84">
        <v>34068</v>
      </c>
      <c r="G226" s="108" t="str">
        <f>CHOOSE(MONTH(F226),"Jan","Feb","Mar","Apr","May","Jun","Jul","Aug","Sep","Oct","Nov","Dec")</f>
        <v>Apr</v>
      </c>
      <c r="H226" s="54">
        <f ca="1">DATEDIF(F226,TODAY(),"Y")</f>
        <v>23</v>
      </c>
      <c r="I226" s="55" t="s">
        <v>283</v>
      </c>
      <c r="J226" s="56">
        <v>23330</v>
      </c>
      <c r="K226" s="57">
        <v>4</v>
      </c>
    </row>
    <row r="227" spans="1:11" x14ac:dyDescent="0.25">
      <c r="A227" s="42" t="s">
        <v>548</v>
      </c>
      <c r="B227" s="49" t="s">
        <v>271</v>
      </c>
      <c r="C227" s="42" t="s">
        <v>465</v>
      </c>
      <c r="D227" s="145">
        <v>421689914</v>
      </c>
      <c r="E227" s="42" t="s">
        <v>247</v>
      </c>
      <c r="F227" s="84">
        <v>34425</v>
      </c>
      <c r="G227" s="108" t="str">
        <f>CHOOSE(MONTH(F227),"Jan","Feb","Mar","Apr","May","Jun","Jul","Aug","Sep","Oct","Nov","Dec")</f>
        <v>Apr</v>
      </c>
      <c r="H227" s="54">
        <f ca="1">DATEDIF(F227,TODAY(),"Y")</f>
        <v>22</v>
      </c>
      <c r="I227" s="55"/>
      <c r="J227" s="56">
        <v>63310</v>
      </c>
      <c r="K227" s="57">
        <v>3</v>
      </c>
    </row>
    <row r="228" spans="1:11" x14ac:dyDescent="0.25">
      <c r="A228" s="42" t="s">
        <v>599</v>
      </c>
      <c r="B228" s="49" t="s">
        <v>271</v>
      </c>
      <c r="C228" s="42" t="s">
        <v>465</v>
      </c>
      <c r="D228" s="145">
        <v>275944402</v>
      </c>
      <c r="E228" s="42" t="s">
        <v>256</v>
      </c>
      <c r="F228" s="84">
        <v>35156</v>
      </c>
      <c r="G228" s="108" t="str">
        <f>CHOOSE(MONTH(F228),"Jan","Feb","Mar","Apr","May","Jun","Jul","Aug","Sep","Oct","Nov","Dec")</f>
        <v>Apr</v>
      </c>
      <c r="H228" s="54">
        <f ca="1">DATEDIF(F228,TODAY(),"Y")</f>
        <v>20</v>
      </c>
      <c r="I228" s="55" t="s">
        <v>283</v>
      </c>
      <c r="J228" s="56">
        <v>86260</v>
      </c>
      <c r="K228" s="57">
        <v>3</v>
      </c>
    </row>
    <row r="229" spans="1:11" x14ac:dyDescent="0.25">
      <c r="A229" s="42" t="s">
        <v>530</v>
      </c>
      <c r="B229" s="49" t="s">
        <v>285</v>
      </c>
      <c r="C229" s="42" t="s">
        <v>465</v>
      </c>
      <c r="D229" s="145">
        <v>354930015</v>
      </c>
      <c r="E229" s="42" t="s">
        <v>247</v>
      </c>
      <c r="F229" s="84">
        <v>35185</v>
      </c>
      <c r="G229" s="108" t="str">
        <f>CHOOSE(MONTH(F229),"Jan","Feb","Mar","Apr","May","Jun","Jul","Aug","Sep","Oct","Nov","Dec")</f>
        <v>Apr</v>
      </c>
      <c r="H229" s="54">
        <f ca="1">DATEDIF(F229,TODAY(),"Y")</f>
        <v>20</v>
      </c>
      <c r="I229" s="55"/>
      <c r="J229" s="56">
        <v>24410</v>
      </c>
      <c r="K229" s="57">
        <v>3</v>
      </c>
    </row>
    <row r="230" spans="1:11" x14ac:dyDescent="0.25">
      <c r="A230" s="42" t="s">
        <v>513</v>
      </c>
      <c r="B230" s="49" t="s">
        <v>285</v>
      </c>
      <c r="C230" s="42" t="s">
        <v>465</v>
      </c>
      <c r="D230" s="145">
        <v>631577683</v>
      </c>
      <c r="E230" s="42" t="s">
        <v>256</v>
      </c>
      <c r="F230" s="84">
        <v>35526</v>
      </c>
      <c r="G230" s="108" t="str">
        <f>CHOOSE(MONTH(F230),"Jan","Feb","Mar","Apr","May","Jun","Jul","Aug","Sep","Oct","Nov","Dec")</f>
        <v>Apr</v>
      </c>
      <c r="H230" s="54">
        <f ca="1">DATEDIF(F230,TODAY(),"Y")</f>
        <v>19</v>
      </c>
      <c r="I230" s="55" t="s">
        <v>283</v>
      </c>
      <c r="J230" s="56">
        <v>32390</v>
      </c>
      <c r="K230" s="57">
        <v>2</v>
      </c>
    </row>
    <row r="231" spans="1:11" x14ac:dyDescent="0.25">
      <c r="A231" s="42" t="s">
        <v>533</v>
      </c>
      <c r="B231" s="49" t="s">
        <v>280</v>
      </c>
      <c r="C231" s="42" t="s">
        <v>465</v>
      </c>
      <c r="D231" s="145">
        <v>680376724</v>
      </c>
      <c r="E231" s="42" t="s">
        <v>256</v>
      </c>
      <c r="F231" s="84">
        <v>35529</v>
      </c>
      <c r="G231" s="108" t="str">
        <f>CHOOSE(MONTH(F231),"Jan","Feb","Mar","Apr","May","Jun","Jul","Aug","Sep","Oct","Nov","Dec")</f>
        <v>Apr</v>
      </c>
      <c r="H231" s="54">
        <f ca="1">DATEDIF(F231,TODAY(),"Y")</f>
        <v>19</v>
      </c>
      <c r="I231" s="55" t="s">
        <v>267</v>
      </c>
      <c r="J231" s="56">
        <v>44920</v>
      </c>
      <c r="K231" s="57">
        <v>1</v>
      </c>
    </row>
    <row r="232" spans="1:11" x14ac:dyDescent="0.25">
      <c r="A232" s="42" t="s">
        <v>517</v>
      </c>
      <c r="B232" s="49" t="s">
        <v>271</v>
      </c>
      <c r="C232" s="42" t="s">
        <v>465</v>
      </c>
      <c r="D232" s="145">
        <v>731041998</v>
      </c>
      <c r="E232" s="42" t="s">
        <v>261</v>
      </c>
      <c r="F232" s="84">
        <v>36269</v>
      </c>
      <c r="G232" s="108" t="str">
        <f>CHOOSE(MONTH(F232),"Jan","Feb","Mar","Apr","May","Jun","Jul","Aug","Sep","Oct","Nov","Dec")</f>
        <v>Apr</v>
      </c>
      <c r="H232" s="54">
        <f ca="1">DATEDIF(F232,TODAY(),"Y")</f>
        <v>17</v>
      </c>
      <c r="I232" s="55" t="s">
        <v>283</v>
      </c>
      <c r="J232" s="56">
        <v>48190</v>
      </c>
      <c r="K232" s="57">
        <v>1</v>
      </c>
    </row>
    <row r="233" spans="1:11" x14ac:dyDescent="0.25">
      <c r="A233" s="42" t="s">
        <v>616</v>
      </c>
      <c r="B233" s="49" t="s">
        <v>271</v>
      </c>
      <c r="C233" s="42" t="s">
        <v>465</v>
      </c>
      <c r="D233" s="145">
        <v>631010983</v>
      </c>
      <c r="E233" s="42" t="s">
        <v>256</v>
      </c>
      <c r="F233" s="84">
        <v>36273</v>
      </c>
      <c r="G233" s="108" t="str">
        <f>CHOOSE(MONTH(F233),"Jan","Feb","Mar","Apr","May","Jun","Jul","Aug","Sep","Oct","Nov","Dec")</f>
        <v>Apr</v>
      </c>
      <c r="H233" s="54">
        <f ca="1">DATEDIF(F233,TODAY(),"Y")</f>
        <v>17</v>
      </c>
      <c r="I233" s="55" t="s">
        <v>283</v>
      </c>
      <c r="J233" s="56">
        <v>61330</v>
      </c>
      <c r="K233" s="57">
        <v>4</v>
      </c>
    </row>
    <row r="234" spans="1:11" x14ac:dyDescent="0.25">
      <c r="A234" s="42" t="s">
        <v>594</v>
      </c>
      <c r="B234" s="49" t="s">
        <v>271</v>
      </c>
      <c r="C234" s="42" t="s">
        <v>465</v>
      </c>
      <c r="D234" s="145">
        <v>331793667</v>
      </c>
      <c r="E234" s="42" t="s">
        <v>247</v>
      </c>
      <c r="F234" s="84">
        <v>36637</v>
      </c>
      <c r="G234" s="108" t="str">
        <f>CHOOSE(MONTH(F234),"Jan","Feb","Mar","Apr","May","Jun","Jul","Aug","Sep","Oct","Nov","Dec")</f>
        <v>Apr</v>
      </c>
      <c r="H234" s="54">
        <f ca="1">DATEDIF(F234,TODAY(),"Y")</f>
        <v>16</v>
      </c>
      <c r="I234" s="55"/>
      <c r="J234" s="56">
        <v>57600</v>
      </c>
      <c r="K234" s="57">
        <v>3</v>
      </c>
    </row>
    <row r="235" spans="1:11" x14ac:dyDescent="0.25">
      <c r="A235" s="42" t="s">
        <v>506</v>
      </c>
      <c r="B235" s="49" t="s">
        <v>285</v>
      </c>
      <c r="C235" s="42" t="s">
        <v>465</v>
      </c>
      <c r="D235" s="145">
        <v>149140570</v>
      </c>
      <c r="E235" s="42" t="s">
        <v>252</v>
      </c>
      <c r="F235" s="84">
        <v>37730</v>
      </c>
      <c r="G235" s="108" t="str">
        <f>CHOOSE(MONTH(F235),"Jan","Feb","Mar","Apr","May","Jun","Jul","Aug","Sep","Oct","Nov","Dec")</f>
        <v>Apr</v>
      </c>
      <c r="H235" s="54">
        <f ca="1">DATEDIF(F235,TODAY(),"Y")</f>
        <v>13</v>
      </c>
      <c r="I235" s="55"/>
      <c r="J235" s="56">
        <v>8892</v>
      </c>
      <c r="K235" s="57">
        <v>1</v>
      </c>
    </row>
    <row r="236" spans="1:11" x14ac:dyDescent="0.25">
      <c r="A236" s="42" t="s">
        <v>525</v>
      </c>
      <c r="B236" s="49" t="s">
        <v>245</v>
      </c>
      <c r="C236" s="42" t="s">
        <v>465</v>
      </c>
      <c r="D236" s="145">
        <v>914834381</v>
      </c>
      <c r="E236" s="42" t="s">
        <v>256</v>
      </c>
      <c r="F236" s="84">
        <v>38809</v>
      </c>
      <c r="G236" s="108" t="str">
        <f>CHOOSE(MONTH(F236),"Jan","Feb","Mar","Apr","May","Jun","Jul","Aug","Sep","Oct","Nov","Dec")</f>
        <v>Apr</v>
      </c>
      <c r="H236" s="54">
        <f ca="1">DATEDIF(F236,TODAY(),"Y")</f>
        <v>10</v>
      </c>
      <c r="I236" s="55" t="s">
        <v>262</v>
      </c>
      <c r="J236" s="56">
        <v>76584</v>
      </c>
      <c r="K236" s="57">
        <v>1</v>
      </c>
    </row>
    <row r="237" spans="1:11" x14ac:dyDescent="0.25">
      <c r="A237" s="42" t="s">
        <v>549</v>
      </c>
      <c r="B237" s="49" t="s">
        <v>285</v>
      </c>
      <c r="C237" s="42" t="s">
        <v>465</v>
      </c>
      <c r="D237" s="145">
        <v>767347844</v>
      </c>
      <c r="E237" s="42" t="s">
        <v>256</v>
      </c>
      <c r="F237" s="84">
        <v>38821</v>
      </c>
      <c r="G237" s="108" t="str">
        <f>CHOOSE(MONTH(F237),"Jan","Feb","Mar","Apr","May","Jun","Jul","Aug","Sep","Oct","Nov","Dec")</f>
        <v>Apr</v>
      </c>
      <c r="H237" s="54">
        <f ca="1">DATEDIF(F237,TODAY(),"Y")</f>
        <v>10</v>
      </c>
      <c r="I237" s="55" t="s">
        <v>283</v>
      </c>
      <c r="J237" s="56">
        <v>65720</v>
      </c>
      <c r="K237" s="57">
        <v>1</v>
      </c>
    </row>
    <row r="238" spans="1:11" x14ac:dyDescent="0.25">
      <c r="A238" s="42" t="s">
        <v>531</v>
      </c>
      <c r="B238" s="49" t="s">
        <v>285</v>
      </c>
      <c r="C238" s="42" t="s">
        <v>465</v>
      </c>
      <c r="D238" s="145">
        <v>837454346</v>
      </c>
      <c r="E238" s="42" t="s">
        <v>256</v>
      </c>
      <c r="F238" s="84">
        <v>38832</v>
      </c>
      <c r="G238" s="108" t="str">
        <f>CHOOSE(MONTH(F238),"Jan","Feb","Mar","Apr","May","Jun","Jul","Aug","Sep","Oct","Nov","Dec")</f>
        <v>Apr</v>
      </c>
      <c r="H238" s="54">
        <f ca="1">DATEDIF(F238,TODAY(),"Y")</f>
        <v>10</v>
      </c>
      <c r="I238" s="55" t="s">
        <v>276</v>
      </c>
      <c r="J238" s="56">
        <v>29420</v>
      </c>
      <c r="K238" s="57">
        <v>5</v>
      </c>
    </row>
    <row r="239" spans="1:11" x14ac:dyDescent="0.25">
      <c r="A239" s="42" t="s">
        <v>557</v>
      </c>
      <c r="B239" s="49" t="s">
        <v>285</v>
      </c>
      <c r="C239" s="42" t="s">
        <v>465</v>
      </c>
      <c r="D239" s="145">
        <v>641567604</v>
      </c>
      <c r="E239" s="42" t="s">
        <v>247</v>
      </c>
      <c r="F239" s="84">
        <v>39189</v>
      </c>
      <c r="G239" s="108" t="str">
        <f>CHOOSE(MONTH(F239),"Jan","Feb","Mar","Apr","May","Jun","Jul","Aug","Sep","Oct","Nov","Dec")</f>
        <v>Apr</v>
      </c>
      <c r="H239" s="54">
        <f ca="1">DATEDIF(F239,TODAY(),"Y")</f>
        <v>9</v>
      </c>
      <c r="I239" s="55"/>
      <c r="J239" s="56">
        <v>63850</v>
      </c>
      <c r="K239" s="57">
        <v>2</v>
      </c>
    </row>
    <row r="240" spans="1:11" x14ac:dyDescent="0.25">
      <c r="A240" s="42" t="s">
        <v>574</v>
      </c>
      <c r="B240" s="49" t="s">
        <v>271</v>
      </c>
      <c r="C240" s="42" t="s">
        <v>465</v>
      </c>
      <c r="D240" s="145">
        <v>976197548</v>
      </c>
      <c r="E240" s="42" t="s">
        <v>247</v>
      </c>
      <c r="F240" s="84">
        <v>39545</v>
      </c>
      <c r="G240" s="108" t="str">
        <f>CHOOSE(MONTH(F240),"Jan","Feb","Mar","Apr","May","Jun","Jul","Aug","Sep","Oct","Nov","Dec")</f>
        <v>Apr</v>
      </c>
      <c r="H240" s="54">
        <f ca="1">DATEDIF(F240,TODAY(),"Y")</f>
        <v>8</v>
      </c>
      <c r="I240" s="55"/>
      <c r="J240" s="56">
        <v>84170</v>
      </c>
      <c r="K240" s="57">
        <v>2</v>
      </c>
    </row>
    <row r="241" spans="1:11" x14ac:dyDescent="0.25">
      <c r="A241" s="42" t="s">
        <v>510</v>
      </c>
      <c r="B241" s="49" t="s">
        <v>271</v>
      </c>
      <c r="C241" s="42" t="s">
        <v>465</v>
      </c>
      <c r="D241" s="145">
        <v>949956965</v>
      </c>
      <c r="E241" s="42" t="s">
        <v>256</v>
      </c>
      <c r="F241" s="84">
        <v>40270</v>
      </c>
      <c r="G241" s="108" t="str">
        <f>CHOOSE(MONTH(F241),"Jan","Feb","Mar","Apr","May","Jun","Jul","Aug","Sep","Oct","Nov","Dec")</f>
        <v>Apr</v>
      </c>
      <c r="H241" s="54">
        <f ca="1">DATEDIF(F241,TODAY(),"Y")</f>
        <v>6</v>
      </c>
      <c r="I241" s="55" t="s">
        <v>283</v>
      </c>
      <c r="J241" s="56">
        <v>35300</v>
      </c>
      <c r="K241" s="57">
        <v>5</v>
      </c>
    </row>
    <row r="242" spans="1:11" x14ac:dyDescent="0.25">
      <c r="A242" s="42" t="s">
        <v>480</v>
      </c>
      <c r="B242" s="49" t="s">
        <v>271</v>
      </c>
      <c r="C242" s="42" t="s">
        <v>465</v>
      </c>
      <c r="D242" s="145">
        <v>151214534</v>
      </c>
      <c r="E242" s="42" t="s">
        <v>256</v>
      </c>
      <c r="F242" s="84">
        <v>40634</v>
      </c>
      <c r="G242" s="108" t="str">
        <f>CHOOSE(MONTH(F242),"Jan","Feb","Mar","Apr","May","Jun","Jul","Aug","Sep","Oct","Nov","Dec")</f>
        <v>Apr</v>
      </c>
      <c r="H242" s="54">
        <f ca="1">DATEDIF(F242,TODAY(),"Y")</f>
        <v>5</v>
      </c>
      <c r="I242" s="55" t="s">
        <v>257</v>
      </c>
      <c r="J242" s="56">
        <v>47440</v>
      </c>
      <c r="K242" s="57">
        <v>3</v>
      </c>
    </row>
    <row r="243" spans="1:11" x14ac:dyDescent="0.25">
      <c r="A243" s="42" t="s">
        <v>538</v>
      </c>
      <c r="B243" s="49" t="s">
        <v>280</v>
      </c>
      <c r="C243" s="42" t="s">
        <v>465</v>
      </c>
      <c r="D243" s="145">
        <v>834166110</v>
      </c>
      <c r="E243" s="42" t="s">
        <v>252</v>
      </c>
      <c r="F243" s="84">
        <v>33751</v>
      </c>
      <c r="G243" s="108" t="str">
        <f>CHOOSE(MONTH(F243),"Jan","Feb","Mar","Apr","May","Jun","Jul","Aug","Sep","Oct","Nov","Dec")</f>
        <v>May</v>
      </c>
      <c r="H243" s="54">
        <f ca="1">DATEDIF(F243,TODAY(),"Y")</f>
        <v>24</v>
      </c>
      <c r="I243" s="55"/>
      <c r="J243" s="56">
        <v>22344</v>
      </c>
      <c r="K243" s="57">
        <v>4</v>
      </c>
    </row>
    <row r="244" spans="1:11" x14ac:dyDescent="0.25">
      <c r="A244" s="42" t="s">
        <v>522</v>
      </c>
      <c r="B244" s="49" t="s">
        <v>251</v>
      </c>
      <c r="C244" s="42" t="s">
        <v>465</v>
      </c>
      <c r="D244" s="145">
        <v>772225948</v>
      </c>
      <c r="E244" s="42" t="s">
        <v>256</v>
      </c>
      <c r="F244" s="84">
        <v>34483</v>
      </c>
      <c r="G244" s="108" t="str">
        <f>CHOOSE(MONTH(F244),"Jan","Feb","Mar","Apr","May","Jun","Jul","Aug","Sep","Oct","Nov","Dec")</f>
        <v>May</v>
      </c>
      <c r="H244" s="54">
        <f ca="1">DATEDIF(F244,TODAY(),"Y")</f>
        <v>22</v>
      </c>
      <c r="I244" s="55" t="s">
        <v>257</v>
      </c>
      <c r="J244" s="56">
        <v>81010</v>
      </c>
      <c r="K244" s="57">
        <v>4</v>
      </c>
    </row>
    <row r="245" spans="1:11" x14ac:dyDescent="0.25">
      <c r="A245" s="42" t="s">
        <v>596</v>
      </c>
      <c r="B245" s="49" t="s">
        <v>271</v>
      </c>
      <c r="C245" s="42" t="s">
        <v>465</v>
      </c>
      <c r="D245" s="145">
        <v>509740100</v>
      </c>
      <c r="E245" s="42" t="s">
        <v>256</v>
      </c>
      <c r="F245" s="84">
        <v>35188</v>
      </c>
      <c r="G245" s="108" t="str">
        <f>CHOOSE(MONTH(F245),"Jan","Feb","Mar","Apr","May","Jun","Jul","Aug","Sep","Oct","Nov","Dec")</f>
        <v>May</v>
      </c>
      <c r="H245" s="54">
        <f ca="1">DATEDIF(F245,TODAY(),"Y")</f>
        <v>20</v>
      </c>
      <c r="I245" s="55" t="s">
        <v>283</v>
      </c>
      <c r="J245" s="56">
        <v>44270</v>
      </c>
      <c r="K245" s="57">
        <v>2</v>
      </c>
    </row>
    <row r="246" spans="1:11" x14ac:dyDescent="0.25">
      <c r="A246" s="42" t="s">
        <v>579</v>
      </c>
      <c r="B246" s="49" t="s">
        <v>285</v>
      </c>
      <c r="C246" s="42" t="s">
        <v>465</v>
      </c>
      <c r="D246" s="145">
        <v>611938541</v>
      </c>
      <c r="E246" s="42" t="s">
        <v>261</v>
      </c>
      <c r="F246" s="84">
        <v>35189</v>
      </c>
      <c r="G246" s="108" t="str">
        <f>CHOOSE(MONTH(F246),"Jan","Feb","Mar","Apr","May","Jun","Jul","Aug","Sep","Oct","Nov","Dec")</f>
        <v>May</v>
      </c>
      <c r="H246" s="54">
        <f ca="1">DATEDIF(F246,TODAY(),"Y")</f>
        <v>20</v>
      </c>
      <c r="I246" s="55" t="s">
        <v>257</v>
      </c>
      <c r="J246" s="56">
        <v>46285</v>
      </c>
      <c r="K246" s="57">
        <v>5</v>
      </c>
    </row>
    <row r="247" spans="1:11" x14ac:dyDescent="0.25">
      <c r="A247" s="42" t="s">
        <v>546</v>
      </c>
      <c r="B247" s="49" t="s">
        <v>285</v>
      </c>
      <c r="C247" s="42" t="s">
        <v>465</v>
      </c>
      <c r="D247" s="145">
        <v>703241704</v>
      </c>
      <c r="E247" s="42" t="s">
        <v>256</v>
      </c>
      <c r="F247" s="84">
        <v>35199</v>
      </c>
      <c r="G247" s="108" t="str">
        <f>CHOOSE(MONTH(F247),"Jan","Feb","Mar","Apr","May","Jun","Jul","Aug","Sep","Oct","Nov","Dec")</f>
        <v>May</v>
      </c>
      <c r="H247" s="54">
        <f ca="1">DATEDIF(F247,TODAY(),"Y")</f>
        <v>20</v>
      </c>
      <c r="I247" s="55" t="s">
        <v>257</v>
      </c>
      <c r="J247" s="56">
        <v>73450</v>
      </c>
      <c r="K247" s="57">
        <v>3</v>
      </c>
    </row>
    <row r="248" spans="1:11" x14ac:dyDescent="0.25">
      <c r="A248" s="42" t="s">
        <v>514</v>
      </c>
      <c r="B248" s="49" t="s">
        <v>251</v>
      </c>
      <c r="C248" s="42" t="s">
        <v>465</v>
      </c>
      <c r="D248" s="145">
        <v>760956576</v>
      </c>
      <c r="E248" s="42" t="s">
        <v>247</v>
      </c>
      <c r="F248" s="84">
        <v>35927</v>
      </c>
      <c r="G248" s="108" t="str">
        <f>CHOOSE(MONTH(F248),"Jan","Feb","Mar","Apr","May","Jun","Jul","Aug","Sep","Oct","Nov","Dec")</f>
        <v>May</v>
      </c>
      <c r="H248" s="54">
        <f ca="1">DATEDIF(F248,TODAY(),"Y")</f>
        <v>18</v>
      </c>
      <c r="I248" s="55"/>
      <c r="J248" s="56">
        <v>76910</v>
      </c>
      <c r="K248" s="57">
        <v>1</v>
      </c>
    </row>
    <row r="249" spans="1:11" x14ac:dyDescent="0.25">
      <c r="A249" s="42" t="s">
        <v>484</v>
      </c>
      <c r="B249" s="49" t="s">
        <v>285</v>
      </c>
      <c r="C249" s="42" t="s">
        <v>465</v>
      </c>
      <c r="D249" s="145">
        <v>591166956</v>
      </c>
      <c r="E249" s="42" t="s">
        <v>256</v>
      </c>
      <c r="F249" s="84">
        <v>35932</v>
      </c>
      <c r="G249" s="108" t="str">
        <f>CHOOSE(MONTH(F249),"Jan","Feb","Mar","Apr","May","Jun","Jul","Aug","Sep","Oct","Nov","Dec")</f>
        <v>May</v>
      </c>
      <c r="H249" s="54">
        <f ca="1">DATEDIF(F249,TODAY(),"Y")</f>
        <v>18</v>
      </c>
      <c r="I249" s="55" t="s">
        <v>283</v>
      </c>
      <c r="J249" s="56">
        <v>89740</v>
      </c>
      <c r="K249" s="57">
        <v>5</v>
      </c>
    </row>
    <row r="250" spans="1:11" x14ac:dyDescent="0.25">
      <c r="A250" s="42" t="s">
        <v>554</v>
      </c>
      <c r="B250" s="49" t="s">
        <v>245</v>
      </c>
      <c r="C250" s="42" t="s">
        <v>465</v>
      </c>
      <c r="D250" s="145">
        <v>373215192</v>
      </c>
      <c r="E250" s="42" t="s">
        <v>256</v>
      </c>
      <c r="F250" s="84">
        <v>35938</v>
      </c>
      <c r="G250" s="108" t="str">
        <f>CHOOSE(MONTH(F250),"Jan","Feb","Mar","Apr","May","Jun","Jul","Aug","Sep","Oct","Nov","Dec")</f>
        <v>May</v>
      </c>
      <c r="H250" s="54">
        <f ca="1">DATEDIF(F250,TODAY(),"Y")</f>
        <v>18</v>
      </c>
      <c r="I250" s="55" t="s">
        <v>267</v>
      </c>
      <c r="J250" s="56">
        <v>55450</v>
      </c>
      <c r="K250" s="57">
        <v>5</v>
      </c>
    </row>
    <row r="251" spans="1:11" x14ac:dyDescent="0.25">
      <c r="A251" s="42" t="s">
        <v>578</v>
      </c>
      <c r="B251" s="49" t="s">
        <v>280</v>
      </c>
      <c r="C251" s="42" t="s">
        <v>465</v>
      </c>
      <c r="D251" s="145">
        <v>930324136</v>
      </c>
      <c r="E251" s="42" t="s">
        <v>247</v>
      </c>
      <c r="F251" s="84">
        <v>36283</v>
      </c>
      <c r="G251" s="108" t="str">
        <f>CHOOSE(MONTH(F251),"Jan","Feb","Mar","Apr","May","Jun","Jul","Aug","Sep","Oct","Nov","Dec")</f>
        <v>May</v>
      </c>
      <c r="H251" s="54">
        <f ca="1">DATEDIF(F251,TODAY(),"Y")</f>
        <v>17</v>
      </c>
      <c r="I251" s="55"/>
      <c r="J251" s="56">
        <v>25130</v>
      </c>
      <c r="K251" s="57">
        <v>5</v>
      </c>
    </row>
    <row r="252" spans="1:11" x14ac:dyDescent="0.25">
      <c r="A252" s="42" t="s">
        <v>536</v>
      </c>
      <c r="B252" s="49" t="s">
        <v>271</v>
      </c>
      <c r="C252" s="42" t="s">
        <v>465</v>
      </c>
      <c r="D252" s="145">
        <v>587131528</v>
      </c>
      <c r="E252" s="42" t="s">
        <v>252</v>
      </c>
      <c r="F252" s="84">
        <v>36305</v>
      </c>
      <c r="G252" s="108" t="str">
        <f>CHOOSE(MONTH(F252),"Jan","Feb","Mar","Apr","May","Jun","Jul","Aug","Sep","Oct","Nov","Dec")</f>
        <v>May</v>
      </c>
      <c r="H252" s="54">
        <f ca="1">DATEDIF(F252,TODAY(),"Y")</f>
        <v>17</v>
      </c>
      <c r="I252" s="55"/>
      <c r="J252" s="56">
        <v>9424</v>
      </c>
      <c r="K252" s="57">
        <v>4</v>
      </c>
    </row>
    <row r="253" spans="1:11" x14ac:dyDescent="0.25">
      <c r="A253" s="42" t="s">
        <v>497</v>
      </c>
      <c r="B253" s="49" t="s">
        <v>285</v>
      </c>
      <c r="C253" s="42" t="s">
        <v>465</v>
      </c>
      <c r="D253" s="145">
        <v>642889794</v>
      </c>
      <c r="E253" s="42" t="s">
        <v>256</v>
      </c>
      <c r="F253" s="84">
        <v>37394</v>
      </c>
      <c r="G253" s="108" t="str">
        <f>CHOOSE(MONTH(F253),"Jan","Feb","Mar","Apr","May","Jun","Jul","Aug","Sep","Oct","Nov","Dec")</f>
        <v>May</v>
      </c>
      <c r="H253" s="54">
        <f ca="1">DATEDIF(F253,TODAY(),"Y")</f>
        <v>14</v>
      </c>
      <c r="I253" s="55" t="s">
        <v>257</v>
      </c>
      <c r="J253" s="56">
        <v>28970</v>
      </c>
      <c r="K253" s="57">
        <v>3</v>
      </c>
    </row>
    <row r="254" spans="1:11" x14ac:dyDescent="0.25">
      <c r="A254" s="42" t="s">
        <v>615</v>
      </c>
      <c r="B254" s="49" t="s">
        <v>271</v>
      </c>
      <c r="C254" s="42" t="s">
        <v>465</v>
      </c>
      <c r="D254" s="145">
        <v>595236915</v>
      </c>
      <c r="E254" s="42" t="s">
        <v>247</v>
      </c>
      <c r="F254" s="106">
        <v>40680</v>
      </c>
      <c r="G254" s="108" t="str">
        <f>CHOOSE(MONTH(F254),"Jan","Feb","Mar","Apr","May","Jun","Jul","Aug","Sep","Oct","Nov","Dec")</f>
        <v>May</v>
      </c>
      <c r="H254" s="54">
        <f ca="1">DATEDIF(F254,TODAY(),"Y")</f>
        <v>5</v>
      </c>
      <c r="I254" s="55"/>
      <c r="J254" s="56">
        <v>57110</v>
      </c>
      <c r="K254" s="57">
        <v>3</v>
      </c>
    </row>
    <row r="255" spans="1:11" x14ac:dyDescent="0.25">
      <c r="A255" s="42" t="s">
        <v>512</v>
      </c>
      <c r="B255" s="49" t="s">
        <v>285</v>
      </c>
      <c r="C255" s="42" t="s">
        <v>465</v>
      </c>
      <c r="D255" s="145">
        <v>738486734</v>
      </c>
      <c r="E255" s="42" t="s">
        <v>247</v>
      </c>
      <c r="F255" s="84">
        <v>33774</v>
      </c>
      <c r="G255" s="108" t="str">
        <f>CHOOSE(MONTH(F255),"Jan","Feb","Mar","Apr","May","Jun","Jul","Aug","Sep","Oct","Nov","Dec")</f>
        <v>Jun</v>
      </c>
      <c r="H255" s="54">
        <f ca="1">DATEDIF(F255,TODAY(),"Y")</f>
        <v>24</v>
      </c>
      <c r="I255" s="55"/>
      <c r="J255" s="56">
        <v>32190</v>
      </c>
      <c r="K255" s="57">
        <v>3</v>
      </c>
    </row>
    <row r="256" spans="1:11" x14ac:dyDescent="0.25">
      <c r="A256" s="42" t="s">
        <v>498</v>
      </c>
      <c r="B256" s="49" t="s">
        <v>271</v>
      </c>
      <c r="C256" s="42" t="s">
        <v>465</v>
      </c>
      <c r="D256" s="145">
        <v>740162699</v>
      </c>
      <c r="E256" s="42" t="s">
        <v>247</v>
      </c>
      <c r="F256" s="84">
        <v>34149</v>
      </c>
      <c r="G256" s="108" t="str">
        <f>CHOOSE(MONTH(F256),"Jan","Feb","Mar","Apr","May","Jun","Jul","Aug","Sep","Oct","Nov","Dec")</f>
        <v>Jun</v>
      </c>
      <c r="H256" s="54">
        <f ca="1">DATEDIF(F256,TODAY(),"Y")</f>
        <v>23</v>
      </c>
      <c r="I256" s="55"/>
      <c r="J256" s="56">
        <v>45770</v>
      </c>
      <c r="K256" s="57">
        <v>5</v>
      </c>
    </row>
    <row r="257" spans="1:11" x14ac:dyDescent="0.25">
      <c r="A257" s="42" t="s">
        <v>566</v>
      </c>
      <c r="B257" s="49" t="s">
        <v>271</v>
      </c>
      <c r="C257" s="42" t="s">
        <v>465</v>
      </c>
      <c r="D257" s="145">
        <v>903099548</v>
      </c>
      <c r="E257" s="42" t="s">
        <v>256</v>
      </c>
      <c r="F257" s="84">
        <v>35589</v>
      </c>
      <c r="G257" s="108" t="str">
        <f>CHOOSE(MONTH(F257),"Jan","Feb","Mar","Apr","May","Jun","Jul","Aug","Sep","Oct","Nov","Dec")</f>
        <v>Jun</v>
      </c>
      <c r="H257" s="54">
        <f ca="1">DATEDIF(F257,TODAY(),"Y")</f>
        <v>19</v>
      </c>
      <c r="I257" s="55" t="s">
        <v>257</v>
      </c>
      <c r="J257" s="56">
        <v>60280</v>
      </c>
      <c r="K257" s="57">
        <v>1</v>
      </c>
    </row>
    <row r="258" spans="1:11" x14ac:dyDescent="0.25">
      <c r="A258" s="42" t="s">
        <v>592</v>
      </c>
      <c r="B258" s="49" t="s">
        <v>251</v>
      </c>
      <c r="C258" s="42" t="s">
        <v>465</v>
      </c>
      <c r="D258" s="145">
        <v>600370287</v>
      </c>
      <c r="E258" s="42" t="s">
        <v>256</v>
      </c>
      <c r="F258" s="84">
        <v>35591</v>
      </c>
      <c r="G258" s="108" t="str">
        <f>CHOOSE(MONTH(F258),"Jan","Feb","Mar","Apr","May","Jun","Jul","Aug","Sep","Oct","Nov","Dec")</f>
        <v>Jun</v>
      </c>
      <c r="H258" s="54">
        <f ca="1">DATEDIF(F258,TODAY(),"Y")</f>
        <v>19</v>
      </c>
      <c r="I258" s="55" t="s">
        <v>283</v>
      </c>
      <c r="J258" s="56">
        <v>61150</v>
      </c>
      <c r="K258" s="57">
        <v>2</v>
      </c>
    </row>
    <row r="259" spans="1:11" x14ac:dyDescent="0.25">
      <c r="A259" s="42" t="s">
        <v>478</v>
      </c>
      <c r="B259" s="49" t="s">
        <v>285</v>
      </c>
      <c r="C259" s="42" t="s">
        <v>465</v>
      </c>
      <c r="D259" s="145">
        <v>959134302</v>
      </c>
      <c r="E259" s="42" t="s">
        <v>247</v>
      </c>
      <c r="F259" s="84">
        <v>35972</v>
      </c>
      <c r="G259" s="108" t="str">
        <f>CHOOSE(MONTH(F259),"Jan","Feb","Mar","Apr","May","Jun","Jul","Aug","Sep","Oct","Nov","Dec")</f>
        <v>Jun</v>
      </c>
      <c r="H259" s="54">
        <f ca="1">DATEDIF(F259,TODAY(),"Y")</f>
        <v>18</v>
      </c>
      <c r="I259" s="55"/>
      <c r="J259" s="56">
        <v>71710</v>
      </c>
      <c r="K259" s="57">
        <v>5</v>
      </c>
    </row>
    <row r="260" spans="1:11" x14ac:dyDescent="0.25">
      <c r="A260" s="42" t="s">
        <v>603</v>
      </c>
      <c r="B260" s="49" t="s">
        <v>285</v>
      </c>
      <c r="C260" s="42" t="s">
        <v>465</v>
      </c>
      <c r="D260" s="145">
        <v>228793940</v>
      </c>
      <c r="E260" s="42" t="s">
        <v>256</v>
      </c>
      <c r="F260" s="84">
        <v>36318</v>
      </c>
      <c r="G260" s="108" t="str">
        <f>CHOOSE(MONTH(F260),"Jan","Feb","Mar","Apr","May","Jun","Jul","Aug","Sep","Oct","Nov","Dec")</f>
        <v>Jun</v>
      </c>
      <c r="H260" s="54">
        <f ca="1">DATEDIF(F260,TODAY(),"Y")</f>
        <v>17</v>
      </c>
      <c r="I260" s="55" t="s">
        <v>283</v>
      </c>
      <c r="J260" s="56">
        <v>68750</v>
      </c>
      <c r="K260" s="57">
        <v>1</v>
      </c>
    </row>
    <row r="261" spans="1:11" x14ac:dyDescent="0.25">
      <c r="A261" s="42" t="s">
        <v>468</v>
      </c>
      <c r="B261" s="49" t="s">
        <v>285</v>
      </c>
      <c r="C261" s="42" t="s">
        <v>465</v>
      </c>
      <c r="D261" s="145">
        <v>119804327</v>
      </c>
      <c r="E261" s="42" t="s">
        <v>256</v>
      </c>
      <c r="F261" s="84">
        <v>36332</v>
      </c>
      <c r="G261" s="108" t="str">
        <f>CHOOSE(MONTH(F261),"Jan","Feb","Mar","Apr","May","Jun","Jul","Aug","Sep","Oct","Nov","Dec")</f>
        <v>Jun</v>
      </c>
      <c r="H261" s="54">
        <f ca="1">DATEDIF(F261,TODAY(),"Y")</f>
        <v>17</v>
      </c>
      <c r="I261" s="55" t="s">
        <v>267</v>
      </c>
      <c r="J261" s="56">
        <v>37760</v>
      </c>
      <c r="K261" s="57">
        <v>2</v>
      </c>
    </row>
    <row r="262" spans="1:11" x14ac:dyDescent="0.25">
      <c r="A262" s="42" t="s">
        <v>535</v>
      </c>
      <c r="B262" s="49" t="s">
        <v>245</v>
      </c>
      <c r="C262" s="42" t="s">
        <v>465</v>
      </c>
      <c r="D262" s="145">
        <v>306014171</v>
      </c>
      <c r="E262" s="42" t="s">
        <v>256</v>
      </c>
      <c r="F262" s="84">
        <v>36698</v>
      </c>
      <c r="G262" s="108" t="str">
        <f>CHOOSE(MONTH(F262),"Jan","Feb","Mar","Apr","May","Jun","Jul","Aug","Sep","Oct","Nov","Dec")</f>
        <v>Jun</v>
      </c>
      <c r="H262" s="54">
        <f ca="1">DATEDIF(F262,TODAY(),"Y")</f>
        <v>16</v>
      </c>
      <c r="I262" s="55" t="s">
        <v>267</v>
      </c>
      <c r="J262" s="56">
        <v>23650</v>
      </c>
      <c r="K262" s="57">
        <v>1</v>
      </c>
    </row>
    <row r="263" spans="1:11" x14ac:dyDescent="0.25">
      <c r="A263" s="42" t="s">
        <v>483</v>
      </c>
      <c r="B263" s="49" t="s">
        <v>280</v>
      </c>
      <c r="C263" s="42" t="s">
        <v>465</v>
      </c>
      <c r="D263" s="145">
        <v>883505331</v>
      </c>
      <c r="E263" s="42" t="s">
        <v>247</v>
      </c>
      <c r="F263" s="84">
        <v>36704</v>
      </c>
      <c r="G263" s="108" t="str">
        <f>CHOOSE(MONTH(F263),"Jan","Feb","Mar","Apr","May","Jun","Jul","Aug","Sep","Oct","Nov","Dec")</f>
        <v>Jun</v>
      </c>
      <c r="H263" s="54">
        <f ca="1">DATEDIF(F263,TODAY(),"Y")</f>
        <v>16</v>
      </c>
      <c r="I263" s="55"/>
      <c r="J263" s="56">
        <v>57760</v>
      </c>
      <c r="K263" s="57">
        <v>3</v>
      </c>
    </row>
    <row r="264" spans="1:11" x14ac:dyDescent="0.25">
      <c r="A264" s="42" t="s">
        <v>613</v>
      </c>
      <c r="B264" s="49" t="s">
        <v>285</v>
      </c>
      <c r="C264" s="42" t="s">
        <v>465</v>
      </c>
      <c r="D264" s="145">
        <v>652600694</v>
      </c>
      <c r="E264" s="42" t="s">
        <v>256</v>
      </c>
      <c r="F264" s="84">
        <v>36707</v>
      </c>
      <c r="G264" s="108" t="str">
        <f>CHOOSE(MONTH(F264),"Jan","Feb","Mar","Apr","May","Jun","Jul","Aug","Sep","Oct","Nov","Dec")</f>
        <v>Jun</v>
      </c>
      <c r="H264" s="54">
        <f ca="1">DATEDIF(F264,TODAY(),"Y")</f>
        <v>16</v>
      </c>
      <c r="I264" s="55" t="s">
        <v>276</v>
      </c>
      <c r="J264" s="56">
        <v>38870</v>
      </c>
      <c r="K264" s="57">
        <v>2</v>
      </c>
    </row>
    <row r="265" spans="1:11" x14ac:dyDescent="0.25">
      <c r="A265" s="42" t="s">
        <v>470</v>
      </c>
      <c r="B265" s="49" t="s">
        <v>285</v>
      </c>
      <c r="C265" s="42" t="s">
        <v>465</v>
      </c>
      <c r="D265" s="145">
        <v>719046337</v>
      </c>
      <c r="E265" s="42" t="s">
        <v>256</v>
      </c>
      <c r="F265" s="84">
        <v>37068</v>
      </c>
      <c r="G265" s="108" t="str">
        <f>CHOOSE(MONTH(F265),"Jan","Feb","Mar","Apr","May","Jun","Jul","Aug","Sep","Oct","Nov","Dec")</f>
        <v>Jun</v>
      </c>
      <c r="H265" s="54">
        <f ca="1">DATEDIF(F265,TODAY(),"Y")</f>
        <v>15</v>
      </c>
      <c r="I265" s="55" t="s">
        <v>262</v>
      </c>
      <c r="J265" s="56">
        <v>66010</v>
      </c>
      <c r="K265" s="57">
        <v>5</v>
      </c>
    </row>
    <row r="266" spans="1:11" x14ac:dyDescent="0.25">
      <c r="A266" s="42" t="s">
        <v>541</v>
      </c>
      <c r="B266" s="49" t="s">
        <v>271</v>
      </c>
      <c r="C266" s="42" t="s">
        <v>465</v>
      </c>
      <c r="D266" s="145">
        <v>153808176</v>
      </c>
      <c r="E266" s="42" t="s">
        <v>256</v>
      </c>
      <c r="F266" s="84">
        <v>37436</v>
      </c>
      <c r="G266" s="108" t="str">
        <f>CHOOSE(MONTH(F266),"Jan","Feb","Mar","Apr","May","Jun","Jul","Aug","Sep","Oct","Nov","Dec")</f>
        <v>Jun</v>
      </c>
      <c r="H266" s="54">
        <f ca="1">DATEDIF(F266,TODAY(),"Y")</f>
        <v>14</v>
      </c>
      <c r="I266" s="55" t="s">
        <v>267</v>
      </c>
      <c r="J266" s="56">
        <v>64130</v>
      </c>
      <c r="K266" s="57">
        <v>1</v>
      </c>
    </row>
    <row r="267" spans="1:11" x14ac:dyDescent="0.25">
      <c r="A267" s="42" t="s">
        <v>607</v>
      </c>
      <c r="B267" s="49" t="s">
        <v>245</v>
      </c>
      <c r="C267" s="42" t="s">
        <v>465</v>
      </c>
      <c r="D267" s="145">
        <v>389072925</v>
      </c>
      <c r="E267" s="42" t="s">
        <v>256</v>
      </c>
      <c r="F267" s="84">
        <v>38146</v>
      </c>
      <c r="G267" s="108" t="str">
        <f>CHOOSE(MONTH(F267),"Jan","Feb","Mar","Apr","May","Jun","Jul","Aug","Sep","Oct","Nov","Dec")</f>
        <v>Jun</v>
      </c>
      <c r="H267" s="54">
        <f ca="1">DATEDIF(F267,TODAY(),"Y")</f>
        <v>12</v>
      </c>
      <c r="I267" s="55" t="s">
        <v>257</v>
      </c>
      <c r="J267" s="56">
        <v>47340</v>
      </c>
      <c r="K267" s="57">
        <v>2</v>
      </c>
    </row>
    <row r="268" spans="1:11" x14ac:dyDescent="0.25">
      <c r="A268" s="42" t="s">
        <v>591</v>
      </c>
      <c r="B268" s="49" t="s">
        <v>285</v>
      </c>
      <c r="C268" s="42" t="s">
        <v>465</v>
      </c>
      <c r="D268" s="145">
        <v>803639666</v>
      </c>
      <c r="E268" s="42" t="s">
        <v>247</v>
      </c>
      <c r="F268" s="84">
        <v>38507</v>
      </c>
      <c r="G268" s="108" t="str">
        <f>CHOOSE(MONTH(F268),"Jan","Feb","Mar","Apr","May","Jun","Jul","Aug","Sep","Oct","Nov","Dec")</f>
        <v>Jun</v>
      </c>
      <c r="H268" s="54">
        <f ca="1">DATEDIF(F268,TODAY(),"Y")</f>
        <v>11</v>
      </c>
      <c r="I268" s="55"/>
      <c r="J268" s="56">
        <v>40940</v>
      </c>
      <c r="K268" s="57">
        <v>2</v>
      </c>
    </row>
    <row r="269" spans="1:11" x14ac:dyDescent="0.25">
      <c r="A269" s="42" t="s">
        <v>532</v>
      </c>
      <c r="B269" s="49" t="s">
        <v>280</v>
      </c>
      <c r="C269" s="42" t="s">
        <v>465</v>
      </c>
      <c r="D269" s="145">
        <v>342619484</v>
      </c>
      <c r="E269" s="42" t="s">
        <v>247</v>
      </c>
      <c r="F269" s="84">
        <v>38874</v>
      </c>
      <c r="G269" s="108" t="str">
        <f>CHOOSE(MONTH(F269),"Jan","Feb","Mar","Apr","May","Jun","Jul","Aug","Sep","Oct","Nov","Dec")</f>
        <v>Jun</v>
      </c>
      <c r="H269" s="54">
        <f ca="1">DATEDIF(F269,TODAY(),"Y")</f>
        <v>10</v>
      </c>
      <c r="I269" s="55"/>
      <c r="J269" s="56">
        <v>59330</v>
      </c>
      <c r="K269" s="57">
        <v>4</v>
      </c>
    </row>
    <row r="270" spans="1:11" x14ac:dyDescent="0.25">
      <c r="A270" s="42" t="s">
        <v>576</v>
      </c>
      <c r="B270" s="49" t="s">
        <v>280</v>
      </c>
      <c r="C270" s="42" t="s">
        <v>465</v>
      </c>
      <c r="D270" s="145">
        <v>411603352</v>
      </c>
      <c r="E270" s="42" t="s">
        <v>256</v>
      </c>
      <c r="F270" s="84">
        <v>39972</v>
      </c>
      <c r="G270" s="108" t="str">
        <f>CHOOSE(MONTH(F270),"Jan","Feb","Mar","Apr","May","Jun","Jul","Aug","Sep","Oct","Nov","Dec")</f>
        <v>Jun</v>
      </c>
      <c r="H270" s="54">
        <f ca="1">DATEDIF(F270,TODAY(),"Y")</f>
        <v>7</v>
      </c>
      <c r="I270" s="55" t="s">
        <v>257</v>
      </c>
      <c r="J270" s="56">
        <v>78170</v>
      </c>
      <c r="K270" s="57">
        <v>5</v>
      </c>
    </row>
    <row r="271" spans="1:11" x14ac:dyDescent="0.25">
      <c r="A271" s="42" t="s">
        <v>524</v>
      </c>
      <c r="B271" s="49" t="s">
        <v>271</v>
      </c>
      <c r="C271" s="42" t="s">
        <v>465</v>
      </c>
      <c r="D271" s="145">
        <v>232169023</v>
      </c>
      <c r="E271" s="42" t="s">
        <v>256</v>
      </c>
      <c r="F271" s="84">
        <v>34151</v>
      </c>
      <c r="G271" s="108" t="str">
        <f>CHOOSE(MONTH(F271),"Jan","Feb","Mar","Apr","May","Jun","Jul","Aug","Sep","Oct","Nov","Dec")</f>
        <v>Jul</v>
      </c>
      <c r="H271" s="54">
        <f ca="1">DATEDIF(F271,TODAY(),"Y")</f>
        <v>23</v>
      </c>
      <c r="I271" s="55" t="s">
        <v>283</v>
      </c>
      <c r="J271" s="56">
        <v>81980</v>
      </c>
      <c r="K271" s="57">
        <v>2</v>
      </c>
    </row>
    <row r="272" spans="1:11" x14ac:dyDescent="0.25">
      <c r="A272" s="42" t="s">
        <v>560</v>
      </c>
      <c r="B272" s="49" t="s">
        <v>245</v>
      </c>
      <c r="C272" s="42" t="s">
        <v>465</v>
      </c>
      <c r="D272" s="145">
        <v>900001470</v>
      </c>
      <c r="E272" s="42" t="s">
        <v>261</v>
      </c>
      <c r="F272" s="84">
        <v>34163</v>
      </c>
      <c r="G272" s="108" t="str">
        <f>CHOOSE(MONTH(F272),"Jan","Feb","Mar","Apr","May","Jun","Jul","Aug","Sep","Oct","Nov","Dec")</f>
        <v>Jul</v>
      </c>
      <c r="H272" s="54">
        <f ca="1">DATEDIF(F272,TODAY(),"Y")</f>
        <v>23</v>
      </c>
      <c r="I272" s="55" t="s">
        <v>262</v>
      </c>
      <c r="J272" s="56">
        <v>18895</v>
      </c>
      <c r="K272" s="57">
        <v>4</v>
      </c>
    </row>
    <row r="273" spans="1:13" x14ac:dyDescent="0.25">
      <c r="A273" s="42" t="s">
        <v>551</v>
      </c>
      <c r="B273" s="49" t="s">
        <v>280</v>
      </c>
      <c r="C273" s="42" t="s">
        <v>465</v>
      </c>
      <c r="D273" s="145">
        <v>293327098</v>
      </c>
      <c r="E273" s="42" t="s">
        <v>252</v>
      </c>
      <c r="F273" s="84">
        <v>34165</v>
      </c>
      <c r="G273" s="108" t="str">
        <f>CHOOSE(MONTH(F273),"Jan","Feb","Mar","Apr","May","Jun","Jul","Aug","Sep","Oct","Nov","Dec")</f>
        <v>Jul</v>
      </c>
      <c r="H273" s="54">
        <f ca="1">DATEDIF(F273,TODAY(),"Y")</f>
        <v>23</v>
      </c>
      <c r="I273" s="55"/>
      <c r="J273" s="56">
        <v>30416</v>
      </c>
      <c r="K273" s="57">
        <v>1</v>
      </c>
    </row>
    <row r="274" spans="1:13" x14ac:dyDescent="0.25">
      <c r="A274" s="42" t="s">
        <v>469</v>
      </c>
      <c r="B274" s="49" t="s">
        <v>245</v>
      </c>
      <c r="C274" s="42" t="s">
        <v>465</v>
      </c>
      <c r="D274" s="145">
        <v>263399031</v>
      </c>
      <c r="E274" s="42" t="s">
        <v>256</v>
      </c>
      <c r="F274" s="84">
        <v>34541</v>
      </c>
      <c r="G274" s="108" t="str">
        <f>CHOOSE(MONTH(F274),"Jan","Feb","Mar","Apr","May","Jun","Jul","Aug","Sep","Oct","Nov","Dec")</f>
        <v>Jul</v>
      </c>
      <c r="H274" s="54">
        <f ca="1">DATEDIF(F274,TODAY(),"Y")</f>
        <v>22</v>
      </c>
      <c r="I274" s="55" t="s">
        <v>276</v>
      </c>
      <c r="J274" s="56">
        <v>34480</v>
      </c>
      <c r="K274" s="57">
        <v>3</v>
      </c>
    </row>
    <row r="275" spans="1:13" x14ac:dyDescent="0.25">
      <c r="A275" s="42" t="s">
        <v>604</v>
      </c>
      <c r="B275" s="49" t="s">
        <v>285</v>
      </c>
      <c r="C275" s="42" t="s">
        <v>465</v>
      </c>
      <c r="D275" s="145">
        <v>877540638</v>
      </c>
      <c r="E275" s="42" t="s">
        <v>256</v>
      </c>
      <c r="F275" s="84">
        <v>34881</v>
      </c>
      <c r="G275" s="108" t="str">
        <f>CHOOSE(MONTH(F275),"Jan","Feb","Mar","Apr","May","Jun","Jul","Aug","Sep","Oct","Nov","Dec")</f>
        <v>Jul</v>
      </c>
      <c r="H275" s="54">
        <f ca="1">DATEDIF(F275,TODAY(),"Y")</f>
        <v>21</v>
      </c>
      <c r="I275" s="55" t="s">
        <v>262</v>
      </c>
      <c r="J275" s="56">
        <v>63070</v>
      </c>
      <c r="K275" s="57">
        <v>1</v>
      </c>
      <c r="M275" s="66"/>
    </row>
    <row r="276" spans="1:13" x14ac:dyDescent="0.25">
      <c r="A276" s="42" t="s">
        <v>466</v>
      </c>
      <c r="B276" s="49" t="s">
        <v>285</v>
      </c>
      <c r="C276" s="42" t="s">
        <v>465</v>
      </c>
      <c r="D276" s="145">
        <v>730088574</v>
      </c>
      <c r="E276" s="42" t="s">
        <v>252</v>
      </c>
      <c r="F276" s="84">
        <v>35982</v>
      </c>
      <c r="G276" s="108" t="str">
        <f>CHOOSE(MONTH(F276),"Jan","Feb","Mar","Apr","May","Jun","Jul","Aug","Sep","Oct","Nov","Dec")</f>
        <v>Jul</v>
      </c>
      <c r="H276" s="54">
        <f ca="1">DATEDIF(F276,TODAY(),"Y")</f>
        <v>18</v>
      </c>
      <c r="I276" s="55"/>
      <c r="J276" s="56">
        <v>8904</v>
      </c>
      <c r="K276" s="57">
        <v>3</v>
      </c>
    </row>
    <row r="277" spans="1:13" x14ac:dyDescent="0.25">
      <c r="A277" s="42" t="s">
        <v>492</v>
      </c>
      <c r="B277" s="49" t="s">
        <v>271</v>
      </c>
      <c r="C277" s="42" t="s">
        <v>465</v>
      </c>
      <c r="D277" s="145">
        <v>317956295</v>
      </c>
      <c r="E277" s="42" t="s">
        <v>247</v>
      </c>
      <c r="F277" s="84">
        <v>35992</v>
      </c>
      <c r="G277" s="108" t="str">
        <f>CHOOSE(MONTH(F277),"Jan","Feb","Mar","Apr","May","Jun","Jul","Aug","Sep","Oct","Nov","Dec")</f>
        <v>Jul</v>
      </c>
      <c r="H277" s="54">
        <f ca="1">DATEDIF(F277,TODAY(),"Y")</f>
        <v>18</v>
      </c>
      <c r="I277" s="55"/>
      <c r="J277" s="56">
        <v>68260</v>
      </c>
      <c r="K277" s="57">
        <v>5</v>
      </c>
    </row>
    <row r="278" spans="1:13" x14ac:dyDescent="0.25">
      <c r="A278" s="42" t="s">
        <v>537</v>
      </c>
      <c r="B278" s="49" t="s">
        <v>271</v>
      </c>
      <c r="C278" s="42" t="s">
        <v>465</v>
      </c>
      <c r="D278" s="145">
        <v>265943078</v>
      </c>
      <c r="E278" s="42" t="s">
        <v>256</v>
      </c>
      <c r="F278" s="84">
        <v>35996</v>
      </c>
      <c r="G278" s="108" t="str">
        <f>CHOOSE(MONTH(F278),"Jan","Feb","Mar","Apr","May","Jun","Jul","Aug","Sep","Oct","Nov","Dec")</f>
        <v>Jul</v>
      </c>
      <c r="H278" s="54">
        <f ca="1">DATEDIF(F278,TODAY(),"Y")</f>
        <v>18</v>
      </c>
      <c r="I278" s="55" t="s">
        <v>257</v>
      </c>
      <c r="J278" s="56">
        <v>40340</v>
      </c>
      <c r="K278" s="57">
        <v>2</v>
      </c>
    </row>
    <row r="279" spans="1:13" x14ac:dyDescent="0.25">
      <c r="A279" s="42" t="s">
        <v>614</v>
      </c>
      <c r="B279" s="49" t="s">
        <v>285</v>
      </c>
      <c r="C279" s="42" t="s">
        <v>465</v>
      </c>
      <c r="D279" s="145">
        <v>388024351</v>
      </c>
      <c r="E279" s="42" t="s">
        <v>247</v>
      </c>
      <c r="F279" s="84">
        <v>35997</v>
      </c>
      <c r="G279" s="108" t="str">
        <f>CHOOSE(MONTH(F279),"Jan","Feb","Mar","Apr","May","Jun","Jul","Aug","Sep","Oct","Nov","Dec")</f>
        <v>Jul</v>
      </c>
      <c r="H279" s="54">
        <f ca="1">DATEDIF(F279,TODAY(),"Y")</f>
        <v>18</v>
      </c>
      <c r="I279" s="55"/>
      <c r="J279" s="56">
        <v>72520</v>
      </c>
      <c r="K279" s="57">
        <v>3</v>
      </c>
    </row>
    <row r="280" spans="1:13" x14ac:dyDescent="0.25">
      <c r="A280" s="42" t="s">
        <v>572</v>
      </c>
      <c r="B280" s="49" t="s">
        <v>266</v>
      </c>
      <c r="C280" s="42" t="s">
        <v>465</v>
      </c>
      <c r="D280" s="145">
        <v>815874610</v>
      </c>
      <c r="E280" s="42" t="s">
        <v>247</v>
      </c>
      <c r="F280" s="84">
        <v>36350</v>
      </c>
      <c r="G280" s="108" t="str">
        <f>CHOOSE(MONTH(F280),"Jan","Feb","Mar","Apr","May","Jun","Jul","Aug","Sep","Oct","Nov","Dec")</f>
        <v>Jul</v>
      </c>
      <c r="H280" s="54">
        <f ca="1">DATEDIF(F280,TODAY(),"Y")</f>
        <v>17</v>
      </c>
      <c r="I280" s="55"/>
      <c r="J280" s="56">
        <v>27380</v>
      </c>
      <c r="K280" s="57">
        <v>3</v>
      </c>
    </row>
    <row r="281" spans="1:13" x14ac:dyDescent="0.25">
      <c r="A281" s="42" t="s">
        <v>562</v>
      </c>
      <c r="B281" s="49" t="s">
        <v>285</v>
      </c>
      <c r="C281" s="42" t="s">
        <v>465</v>
      </c>
      <c r="D281" s="145">
        <v>701820186</v>
      </c>
      <c r="E281" s="42" t="s">
        <v>261</v>
      </c>
      <c r="F281" s="84">
        <v>36360</v>
      </c>
      <c r="G281" s="108" t="str">
        <f>CHOOSE(MONTH(F281),"Jan","Feb","Mar","Apr","May","Jun","Jul","Aug","Sep","Oct","Nov","Dec")</f>
        <v>Jul</v>
      </c>
      <c r="H281" s="54">
        <f ca="1">DATEDIF(F281,TODAY(),"Y")</f>
        <v>17</v>
      </c>
      <c r="I281" s="55" t="s">
        <v>283</v>
      </c>
      <c r="J281" s="56">
        <v>11065</v>
      </c>
      <c r="K281" s="57">
        <v>1</v>
      </c>
    </row>
    <row r="282" spans="1:13" x14ac:dyDescent="0.25">
      <c r="A282" s="42" t="s">
        <v>534</v>
      </c>
      <c r="B282" s="49" t="s">
        <v>285</v>
      </c>
      <c r="C282" s="42" t="s">
        <v>465</v>
      </c>
      <c r="D282" s="145">
        <v>988055802</v>
      </c>
      <c r="E282" s="42" t="s">
        <v>247</v>
      </c>
      <c r="F282" s="84">
        <v>36718</v>
      </c>
      <c r="G282" s="108" t="str">
        <f>CHOOSE(MONTH(F282),"Jan","Feb","Mar","Apr","May","Jun","Jul","Aug","Sep","Oct","Nov","Dec")</f>
        <v>Jul</v>
      </c>
      <c r="H282" s="54">
        <f ca="1">DATEDIF(F282,TODAY(),"Y")</f>
        <v>16</v>
      </c>
      <c r="I282" s="55"/>
      <c r="J282" s="56">
        <v>89520</v>
      </c>
      <c r="K282" s="57">
        <v>5</v>
      </c>
    </row>
    <row r="283" spans="1:13" x14ac:dyDescent="0.25">
      <c r="A283" s="42" t="s">
        <v>545</v>
      </c>
      <c r="B283" s="49" t="s">
        <v>285</v>
      </c>
      <c r="C283" s="42" t="s">
        <v>465</v>
      </c>
      <c r="D283" s="145">
        <v>920589535</v>
      </c>
      <c r="E283" s="42" t="s">
        <v>247</v>
      </c>
      <c r="F283" s="84">
        <v>36729</v>
      </c>
      <c r="G283" s="108" t="str">
        <f>CHOOSE(MONTH(F283),"Jan","Feb","Mar","Apr","May","Jun","Jul","Aug","Sep","Oct","Nov","Dec")</f>
        <v>Jul</v>
      </c>
      <c r="H283" s="54">
        <f ca="1">DATEDIF(F283,TODAY(),"Y")</f>
        <v>16</v>
      </c>
      <c r="I283" s="55"/>
      <c r="J283" s="56">
        <v>45420</v>
      </c>
      <c r="K283" s="57">
        <v>1</v>
      </c>
    </row>
    <row r="284" spans="1:13" x14ac:dyDescent="0.25">
      <c r="A284" s="42" t="s">
        <v>493</v>
      </c>
      <c r="B284" s="49" t="s">
        <v>266</v>
      </c>
      <c r="C284" s="42" t="s">
        <v>465</v>
      </c>
      <c r="D284" s="145">
        <v>977539699</v>
      </c>
      <c r="E284" s="42" t="s">
        <v>247</v>
      </c>
      <c r="F284" s="84">
        <v>37820</v>
      </c>
      <c r="G284" s="108" t="str">
        <f>CHOOSE(MONTH(F284),"Jan","Feb","Mar","Apr","May","Jun","Jul","Aug","Sep","Oct","Nov","Dec")</f>
        <v>Jul</v>
      </c>
      <c r="H284" s="54">
        <f ca="1">DATEDIF(F284,TODAY(),"Y")</f>
        <v>13</v>
      </c>
      <c r="I284" s="55"/>
      <c r="J284" s="56">
        <v>75420</v>
      </c>
      <c r="K284" s="57">
        <v>1</v>
      </c>
    </row>
    <row r="285" spans="1:13" x14ac:dyDescent="0.25">
      <c r="A285" s="42" t="s">
        <v>496</v>
      </c>
      <c r="B285" s="49" t="s">
        <v>245</v>
      </c>
      <c r="C285" s="42" t="s">
        <v>465</v>
      </c>
      <c r="D285" s="145">
        <v>202700092</v>
      </c>
      <c r="E285" s="42" t="s">
        <v>247</v>
      </c>
      <c r="F285" s="84">
        <v>38537</v>
      </c>
      <c r="G285" s="108" t="str">
        <f>CHOOSE(MONTH(F285),"Jan","Feb","Mar","Apr","May","Jun","Jul","Aug","Sep","Oct","Nov","Dec")</f>
        <v>Jul</v>
      </c>
      <c r="H285" s="54">
        <f ca="1">DATEDIF(F285,TODAY(),"Y")</f>
        <v>11</v>
      </c>
      <c r="I285" s="55"/>
      <c r="J285" s="56">
        <v>39680</v>
      </c>
      <c r="K285" s="57">
        <v>1</v>
      </c>
    </row>
    <row r="286" spans="1:13" x14ac:dyDescent="0.25">
      <c r="A286" s="42" t="s">
        <v>511</v>
      </c>
      <c r="B286" s="49" t="s">
        <v>251</v>
      </c>
      <c r="C286" s="42" t="s">
        <v>465</v>
      </c>
      <c r="D286" s="145">
        <v>378564305</v>
      </c>
      <c r="E286" s="42" t="s">
        <v>247</v>
      </c>
      <c r="F286" s="84">
        <v>38912</v>
      </c>
      <c r="G286" s="108" t="str">
        <f>CHOOSE(MONTH(F286),"Jan","Feb","Mar","Apr","May","Jun","Jul","Aug","Sep","Oct","Nov","Dec")</f>
        <v>Jul</v>
      </c>
      <c r="H286" s="54">
        <f ca="1">DATEDIF(F286,TODAY(),"Y")</f>
        <v>10</v>
      </c>
      <c r="I286" s="55"/>
      <c r="J286" s="56">
        <v>80330</v>
      </c>
      <c r="K286" s="57">
        <v>4</v>
      </c>
    </row>
    <row r="287" spans="1:13" x14ac:dyDescent="0.25">
      <c r="A287" s="42" t="s">
        <v>561</v>
      </c>
      <c r="B287" s="49" t="s">
        <v>271</v>
      </c>
      <c r="C287" s="42" t="s">
        <v>465</v>
      </c>
      <c r="D287" s="145">
        <v>134676567</v>
      </c>
      <c r="E287" s="42" t="s">
        <v>247</v>
      </c>
      <c r="F287" s="84">
        <v>33819</v>
      </c>
      <c r="G287" s="108" t="str">
        <f>CHOOSE(MONTH(F287),"Jan","Feb","Mar","Apr","May","Jun","Jul","Aug","Sep","Oct","Nov","Dec")</f>
        <v>Aug</v>
      </c>
      <c r="H287" s="54">
        <f ca="1">DATEDIF(F287,TODAY(),"Y")</f>
        <v>24</v>
      </c>
      <c r="I287" s="55"/>
      <c r="J287" s="56">
        <v>49530</v>
      </c>
      <c r="K287" s="57">
        <v>2</v>
      </c>
    </row>
    <row r="288" spans="1:13" x14ac:dyDescent="0.25">
      <c r="A288" s="42" t="s">
        <v>601</v>
      </c>
      <c r="B288" s="49" t="s">
        <v>271</v>
      </c>
      <c r="C288" s="42" t="s">
        <v>465</v>
      </c>
      <c r="D288" s="145">
        <v>613938083</v>
      </c>
      <c r="E288" s="42" t="s">
        <v>256</v>
      </c>
      <c r="F288" s="84">
        <v>36009</v>
      </c>
      <c r="G288" s="108" t="str">
        <f>CHOOSE(MONTH(F288),"Jan","Feb","Mar","Apr","May","Jun","Jul","Aug","Sep","Oct","Nov","Dec")</f>
        <v>Aug</v>
      </c>
      <c r="H288" s="54">
        <f ca="1">DATEDIF(F288,TODAY(),"Y")</f>
        <v>18</v>
      </c>
      <c r="I288" s="55" t="s">
        <v>257</v>
      </c>
      <c r="J288" s="56">
        <v>75120</v>
      </c>
      <c r="K288" s="57">
        <v>5</v>
      </c>
    </row>
    <row r="289" spans="1:11" x14ac:dyDescent="0.25">
      <c r="A289" s="42" t="s">
        <v>567</v>
      </c>
      <c r="B289" s="49" t="s">
        <v>280</v>
      </c>
      <c r="C289" s="42" t="s">
        <v>465</v>
      </c>
      <c r="D289" s="145">
        <v>830328279</v>
      </c>
      <c r="E289" s="42" t="s">
        <v>247</v>
      </c>
      <c r="F289" s="84">
        <v>36011</v>
      </c>
      <c r="G289" s="108" t="str">
        <f>CHOOSE(MONTH(F289),"Jan","Feb","Mar","Apr","May","Jun","Jul","Aug","Sep","Oct","Nov","Dec")</f>
        <v>Aug</v>
      </c>
      <c r="H289" s="54">
        <f ca="1">DATEDIF(F289,TODAY(),"Y")</f>
        <v>18</v>
      </c>
      <c r="I289" s="55"/>
      <c r="J289" s="56">
        <v>45050</v>
      </c>
      <c r="K289" s="57">
        <v>1</v>
      </c>
    </row>
    <row r="290" spans="1:11" x14ac:dyDescent="0.25">
      <c r="A290" s="42" t="s">
        <v>539</v>
      </c>
      <c r="B290" s="49" t="s">
        <v>266</v>
      </c>
      <c r="C290" s="42" t="s">
        <v>465</v>
      </c>
      <c r="D290" s="145">
        <v>466348526</v>
      </c>
      <c r="E290" s="42" t="s">
        <v>256</v>
      </c>
      <c r="F290" s="84">
        <v>39312</v>
      </c>
      <c r="G290" s="108" t="str">
        <f>CHOOSE(MONTH(F290),"Jan","Feb","Mar","Apr","May","Jun","Jul","Aug","Sep","Oct","Nov","Dec")</f>
        <v>Aug</v>
      </c>
      <c r="H290" s="54">
        <f ca="1">DATEDIF(F290,TODAY(),"Y")</f>
        <v>9</v>
      </c>
      <c r="I290" s="55" t="s">
        <v>262</v>
      </c>
      <c r="J290" s="56">
        <v>71030</v>
      </c>
      <c r="K290" s="57">
        <v>3</v>
      </c>
    </row>
    <row r="291" spans="1:11" x14ac:dyDescent="0.25">
      <c r="A291" s="42" t="s">
        <v>584</v>
      </c>
      <c r="B291" s="49" t="s">
        <v>251</v>
      </c>
      <c r="C291" s="42" t="s">
        <v>465</v>
      </c>
      <c r="D291" s="145">
        <v>811202895</v>
      </c>
      <c r="E291" s="42" t="s">
        <v>261</v>
      </c>
      <c r="F291" s="84">
        <v>34583</v>
      </c>
      <c r="G291" s="108" t="str">
        <f>CHOOSE(MONTH(F291),"Jan","Feb","Mar","Apr","May","Jun","Jul","Aug","Sep","Oct","Nov","Dec")</f>
        <v>Sep</v>
      </c>
      <c r="H291" s="54">
        <f ca="1">DATEDIF(F291,TODAY(),"Y")</f>
        <v>22</v>
      </c>
      <c r="I291" s="55" t="s">
        <v>262</v>
      </c>
      <c r="J291" s="56">
        <v>15260</v>
      </c>
      <c r="K291" s="57">
        <v>2</v>
      </c>
    </row>
    <row r="292" spans="1:11" x14ac:dyDescent="0.25">
      <c r="A292" s="42" t="s">
        <v>555</v>
      </c>
      <c r="B292" s="49" t="s">
        <v>285</v>
      </c>
      <c r="C292" s="42" t="s">
        <v>465</v>
      </c>
      <c r="D292" s="145">
        <v>590586478</v>
      </c>
      <c r="E292" s="42" t="s">
        <v>256</v>
      </c>
      <c r="F292" s="84">
        <v>34971</v>
      </c>
      <c r="G292" s="108" t="str">
        <f>CHOOSE(MONTH(F292),"Jan","Feb","Mar","Apr","May","Jun","Jul","Aug","Sep","Oct","Nov","Dec")</f>
        <v>Sep</v>
      </c>
      <c r="H292" s="54">
        <f ca="1">DATEDIF(F292,TODAY(),"Y")</f>
        <v>21</v>
      </c>
      <c r="I292" s="55" t="s">
        <v>283</v>
      </c>
      <c r="J292" s="56">
        <v>67050</v>
      </c>
      <c r="K292" s="57">
        <v>4</v>
      </c>
    </row>
    <row r="293" spans="1:11" x14ac:dyDescent="0.25">
      <c r="A293" s="42" t="s">
        <v>482</v>
      </c>
      <c r="B293" s="49" t="s">
        <v>251</v>
      </c>
      <c r="C293" s="42" t="s">
        <v>465</v>
      </c>
      <c r="D293" s="145">
        <v>718722872</v>
      </c>
      <c r="E293" s="42" t="s">
        <v>256</v>
      </c>
      <c r="F293" s="84">
        <v>35311</v>
      </c>
      <c r="G293" s="108" t="str">
        <f>CHOOSE(MONTH(F293),"Jan","Feb","Mar","Apr","May","Jun","Jul","Aug","Sep","Oct","Nov","Dec")</f>
        <v>Sep</v>
      </c>
      <c r="H293" s="54">
        <f ca="1">DATEDIF(F293,TODAY(),"Y")</f>
        <v>20</v>
      </c>
      <c r="I293" s="55" t="s">
        <v>267</v>
      </c>
      <c r="J293" s="56">
        <v>39520</v>
      </c>
      <c r="K293" s="57">
        <v>5</v>
      </c>
    </row>
    <row r="294" spans="1:11" x14ac:dyDescent="0.25">
      <c r="A294" s="42" t="s">
        <v>597</v>
      </c>
      <c r="B294" s="49" t="s">
        <v>271</v>
      </c>
      <c r="C294" s="42" t="s">
        <v>465</v>
      </c>
      <c r="D294" s="145">
        <v>436564745</v>
      </c>
      <c r="E294" s="42" t="s">
        <v>256</v>
      </c>
      <c r="F294" s="84">
        <v>35695</v>
      </c>
      <c r="G294" s="108" t="str">
        <f>CHOOSE(MONTH(F294),"Jan","Feb","Mar","Apr","May","Jun","Jul","Aug","Sep","Oct","Nov","Dec")</f>
        <v>Sep</v>
      </c>
      <c r="H294" s="54">
        <f ca="1">DATEDIF(F294,TODAY(),"Y")</f>
        <v>19</v>
      </c>
      <c r="I294" s="55" t="s">
        <v>257</v>
      </c>
      <c r="J294" s="56">
        <v>60100</v>
      </c>
      <c r="K294" s="57">
        <v>1</v>
      </c>
    </row>
    <row r="295" spans="1:11" x14ac:dyDescent="0.25">
      <c r="A295" s="42" t="s">
        <v>610</v>
      </c>
      <c r="B295" s="49" t="s">
        <v>285</v>
      </c>
      <c r="C295" s="42" t="s">
        <v>465</v>
      </c>
      <c r="D295" s="145">
        <v>962607933</v>
      </c>
      <c r="E295" s="42" t="s">
        <v>256</v>
      </c>
      <c r="F295" s="84">
        <v>35703</v>
      </c>
      <c r="G295" s="108" t="str">
        <f>CHOOSE(MONTH(F295),"Jan","Feb","Mar","Apr","May","Jun","Jul","Aug","Sep","Oct","Nov","Dec")</f>
        <v>Sep</v>
      </c>
      <c r="H295" s="54">
        <f ca="1">DATEDIF(F295,TODAY(),"Y")</f>
        <v>19</v>
      </c>
      <c r="I295" s="55" t="s">
        <v>262</v>
      </c>
      <c r="J295" s="56">
        <v>66430</v>
      </c>
      <c r="K295" s="57">
        <v>2</v>
      </c>
    </row>
    <row r="296" spans="1:11" x14ac:dyDescent="0.25">
      <c r="A296" s="42" t="s">
        <v>573</v>
      </c>
      <c r="B296" s="49" t="s">
        <v>280</v>
      </c>
      <c r="C296" s="42" t="s">
        <v>465</v>
      </c>
      <c r="D296" s="145">
        <v>404442652</v>
      </c>
      <c r="E296" s="42" t="s">
        <v>252</v>
      </c>
      <c r="F296" s="84">
        <v>36067</v>
      </c>
      <c r="G296" s="108" t="str">
        <f>CHOOSE(MONTH(F296),"Jan","Feb","Mar","Apr","May","Jun","Jul","Aug","Sep","Oct","Nov","Dec")</f>
        <v>Sep</v>
      </c>
      <c r="H296" s="54">
        <f ca="1">DATEDIF(F296,TODAY(),"Y")</f>
        <v>18</v>
      </c>
      <c r="I296" s="55"/>
      <c r="J296" s="56">
        <v>37612</v>
      </c>
      <c r="K296" s="57">
        <v>4</v>
      </c>
    </row>
    <row r="297" spans="1:11" x14ac:dyDescent="0.25">
      <c r="A297" s="42" t="s">
        <v>515</v>
      </c>
      <c r="B297" s="49" t="s">
        <v>280</v>
      </c>
      <c r="C297" s="42" t="s">
        <v>465</v>
      </c>
      <c r="D297" s="145">
        <v>984227035</v>
      </c>
      <c r="E297" s="42" t="s">
        <v>256</v>
      </c>
      <c r="F297" s="84">
        <v>36413</v>
      </c>
      <c r="G297" s="108" t="str">
        <f>CHOOSE(MONTH(F297),"Jan","Feb","Mar","Apr","May","Jun","Jul","Aug","Sep","Oct","Nov","Dec")</f>
        <v>Sep</v>
      </c>
      <c r="H297" s="54">
        <f ca="1">DATEDIF(F297,TODAY(),"Y")</f>
        <v>17</v>
      </c>
      <c r="I297" s="55" t="s">
        <v>257</v>
      </c>
      <c r="J297" s="56">
        <v>40060</v>
      </c>
      <c r="K297" s="57">
        <v>3</v>
      </c>
    </row>
    <row r="298" spans="1:11" x14ac:dyDescent="0.25">
      <c r="A298" s="42" t="s">
        <v>571</v>
      </c>
      <c r="B298" s="49" t="s">
        <v>285</v>
      </c>
      <c r="C298" s="42" t="s">
        <v>465</v>
      </c>
      <c r="D298" s="145">
        <v>723846958</v>
      </c>
      <c r="E298" s="42" t="s">
        <v>261</v>
      </c>
      <c r="F298" s="84">
        <v>36422</v>
      </c>
      <c r="G298" s="108" t="str">
        <f>CHOOSE(MONTH(F298),"Jan","Feb","Mar","Apr","May","Jun","Jul","Aug","Sep","Oct","Nov","Dec")</f>
        <v>Sep</v>
      </c>
      <c r="H298" s="54">
        <f ca="1">DATEDIF(F298,TODAY(),"Y")</f>
        <v>17</v>
      </c>
      <c r="I298" s="55" t="s">
        <v>283</v>
      </c>
      <c r="J298" s="56">
        <v>17270</v>
      </c>
      <c r="K298" s="57">
        <v>5</v>
      </c>
    </row>
    <row r="299" spans="1:11" x14ac:dyDescent="0.25">
      <c r="A299" s="42" t="s">
        <v>552</v>
      </c>
      <c r="B299" s="49" t="s">
        <v>285</v>
      </c>
      <c r="C299" s="42" t="s">
        <v>465</v>
      </c>
      <c r="D299" s="145">
        <v>721919475</v>
      </c>
      <c r="E299" s="42" t="s">
        <v>256</v>
      </c>
      <c r="F299" s="84">
        <v>36431</v>
      </c>
      <c r="G299" s="108" t="str">
        <f>CHOOSE(MONTH(F299),"Jan","Feb","Mar","Apr","May","Jun","Jul","Aug","Sep","Oct","Nov","Dec")</f>
        <v>Sep</v>
      </c>
      <c r="H299" s="54">
        <f ca="1">DATEDIF(F299,TODAY(),"Y")</f>
        <v>17</v>
      </c>
      <c r="I299" s="55" t="s">
        <v>257</v>
      </c>
      <c r="J299" s="56">
        <v>35820</v>
      </c>
      <c r="K299" s="57">
        <v>2</v>
      </c>
    </row>
    <row r="300" spans="1:11" x14ac:dyDescent="0.25">
      <c r="A300" s="42" t="s">
        <v>600</v>
      </c>
      <c r="B300" s="49" t="s">
        <v>271</v>
      </c>
      <c r="C300" s="42" t="s">
        <v>465</v>
      </c>
      <c r="D300" s="145">
        <v>541519635</v>
      </c>
      <c r="E300" s="42" t="s">
        <v>256</v>
      </c>
      <c r="F300" s="84">
        <v>37509</v>
      </c>
      <c r="G300" s="108" t="str">
        <f>CHOOSE(MONTH(F300),"Jan","Feb","Mar","Apr","May","Jun","Jul","Aug","Sep","Oct","Nov","Dec")</f>
        <v>Sep</v>
      </c>
      <c r="H300" s="54">
        <f ca="1">DATEDIF(F300,TODAY(),"Y")</f>
        <v>14</v>
      </c>
      <c r="I300" s="55" t="s">
        <v>283</v>
      </c>
      <c r="J300" s="56">
        <v>69080</v>
      </c>
      <c r="K300" s="57">
        <v>3</v>
      </c>
    </row>
    <row r="301" spans="1:11" x14ac:dyDescent="0.25">
      <c r="A301" s="42" t="s">
        <v>612</v>
      </c>
      <c r="B301" s="49" t="s">
        <v>285</v>
      </c>
      <c r="C301" s="42" t="s">
        <v>465</v>
      </c>
      <c r="D301" s="145">
        <v>536598946</v>
      </c>
      <c r="E301" s="42" t="s">
        <v>256</v>
      </c>
      <c r="F301" s="84">
        <v>37866</v>
      </c>
      <c r="G301" s="108" t="str">
        <f>CHOOSE(MONTH(F301),"Jan","Feb","Mar","Apr","May","Jun","Jul","Aug","Sep","Oct","Nov","Dec")</f>
        <v>Sep</v>
      </c>
      <c r="H301" s="54">
        <f ca="1">DATEDIF(F301,TODAY(),"Y")</f>
        <v>13</v>
      </c>
      <c r="I301" s="55" t="s">
        <v>262</v>
      </c>
      <c r="J301" s="56">
        <v>54230</v>
      </c>
      <c r="K301" s="57">
        <v>5</v>
      </c>
    </row>
    <row r="302" spans="1:11" x14ac:dyDescent="0.25">
      <c r="A302" s="42" t="s">
        <v>509</v>
      </c>
      <c r="B302" s="49" t="s">
        <v>280</v>
      </c>
      <c r="C302" s="42" t="s">
        <v>465</v>
      </c>
      <c r="D302" s="145">
        <v>378229868</v>
      </c>
      <c r="E302" s="42" t="s">
        <v>256</v>
      </c>
      <c r="F302" s="84">
        <v>39348</v>
      </c>
      <c r="G302" s="108" t="str">
        <f>CHOOSE(MONTH(F302),"Jan","Feb","Mar","Apr","May","Jun","Jul","Aug","Sep","Oct","Nov","Dec")</f>
        <v>Sep</v>
      </c>
      <c r="H302" s="54">
        <f ca="1">DATEDIF(F302,TODAY(),"Y")</f>
        <v>9</v>
      </c>
      <c r="I302" s="55" t="s">
        <v>257</v>
      </c>
      <c r="J302" s="56">
        <v>46220</v>
      </c>
      <c r="K302" s="57">
        <v>2</v>
      </c>
    </row>
    <row r="303" spans="1:11" x14ac:dyDescent="0.25">
      <c r="A303" s="42" t="s">
        <v>479</v>
      </c>
      <c r="B303" s="49" t="s">
        <v>271</v>
      </c>
      <c r="C303" s="42" t="s">
        <v>465</v>
      </c>
      <c r="D303" s="145">
        <v>340814700</v>
      </c>
      <c r="E303" s="42" t="s">
        <v>256</v>
      </c>
      <c r="F303" s="84">
        <v>39696</v>
      </c>
      <c r="G303" s="108" t="str">
        <f>CHOOSE(MONTH(F303),"Jan","Feb","Mar","Apr","May","Jun","Jul","Aug","Sep","Oct","Nov","Dec")</f>
        <v>Sep</v>
      </c>
      <c r="H303" s="54">
        <f ca="1">DATEDIF(F303,TODAY(),"Y")</f>
        <v>8</v>
      </c>
      <c r="I303" s="55" t="s">
        <v>257</v>
      </c>
      <c r="J303" s="56">
        <v>69320</v>
      </c>
      <c r="K303" s="57">
        <v>3</v>
      </c>
    </row>
    <row r="304" spans="1:11" x14ac:dyDescent="0.25">
      <c r="A304" s="42" t="s">
        <v>606</v>
      </c>
      <c r="B304" s="49" t="s">
        <v>285</v>
      </c>
      <c r="C304" s="42" t="s">
        <v>465</v>
      </c>
      <c r="D304" s="145">
        <v>658156807</v>
      </c>
      <c r="E304" s="42" t="s">
        <v>247</v>
      </c>
      <c r="F304" s="106">
        <v>40449</v>
      </c>
      <c r="G304" s="108" t="str">
        <f>CHOOSE(MONTH(F304),"Jan","Feb","Mar","Apr","May","Jun","Jul","Aug","Sep","Oct","Nov","Dec")</f>
        <v>Sep</v>
      </c>
      <c r="H304" s="54">
        <f ca="1">DATEDIF(F304,TODAY(),"Y")</f>
        <v>6</v>
      </c>
      <c r="I304" s="55"/>
      <c r="J304" s="56">
        <v>88840</v>
      </c>
      <c r="K304" s="57">
        <v>5</v>
      </c>
    </row>
    <row r="305" spans="1:11" x14ac:dyDescent="0.25">
      <c r="A305" s="42" t="s">
        <v>472</v>
      </c>
      <c r="B305" s="49" t="s">
        <v>280</v>
      </c>
      <c r="C305" s="42" t="s">
        <v>465</v>
      </c>
      <c r="D305" s="145">
        <v>405113634</v>
      </c>
      <c r="E305" s="42" t="s">
        <v>247</v>
      </c>
      <c r="F305" s="84">
        <v>34265</v>
      </c>
      <c r="G305" s="108" t="str">
        <f>CHOOSE(MONTH(F305),"Jan","Feb","Mar","Apr","May","Jun","Jul","Aug","Sep","Oct","Nov","Dec")</f>
        <v>Oct</v>
      </c>
      <c r="H305" s="54">
        <f ca="1">DATEDIF(F305,TODAY(),"Y")</f>
        <v>23</v>
      </c>
      <c r="I305" s="55"/>
      <c r="J305" s="56">
        <v>35460</v>
      </c>
      <c r="K305" s="57">
        <v>3</v>
      </c>
    </row>
    <row r="306" spans="1:11" x14ac:dyDescent="0.25">
      <c r="A306" s="42" t="s">
        <v>543</v>
      </c>
      <c r="B306" s="49" t="s">
        <v>251</v>
      </c>
      <c r="C306" s="42" t="s">
        <v>465</v>
      </c>
      <c r="D306" s="145">
        <v>304216315</v>
      </c>
      <c r="E306" s="42" t="s">
        <v>261</v>
      </c>
      <c r="F306" s="84">
        <v>35343</v>
      </c>
      <c r="G306" s="108" t="str">
        <f>CHOOSE(MONTH(F306),"Jan","Feb","Mar","Apr","May","Jun","Jul","Aug","Sep","Oct","Nov","Dec")</f>
        <v>Oct</v>
      </c>
      <c r="H306" s="54">
        <f ca="1">DATEDIF(F306,TODAY(),"Y")</f>
        <v>20</v>
      </c>
      <c r="I306" s="55" t="s">
        <v>257</v>
      </c>
      <c r="J306" s="56">
        <v>46645</v>
      </c>
      <c r="K306" s="57">
        <v>5</v>
      </c>
    </row>
    <row r="307" spans="1:11" x14ac:dyDescent="0.25">
      <c r="A307" s="42" t="s">
        <v>467</v>
      </c>
      <c r="B307" s="49" t="s">
        <v>271</v>
      </c>
      <c r="C307" s="42" t="s">
        <v>465</v>
      </c>
      <c r="D307" s="145">
        <v>306485800</v>
      </c>
      <c r="E307" s="42" t="s">
        <v>247</v>
      </c>
      <c r="F307" s="84">
        <v>35349</v>
      </c>
      <c r="G307" s="108" t="str">
        <f>CHOOSE(MONTH(F307),"Jan","Feb","Mar","Apr","May","Jun","Jul","Aug","Sep","Oct","Nov","Dec")</f>
        <v>Oct</v>
      </c>
      <c r="H307" s="54">
        <f ca="1">DATEDIF(F307,TODAY(),"Y")</f>
        <v>20</v>
      </c>
      <c r="I307" s="55"/>
      <c r="J307" s="56">
        <v>52940</v>
      </c>
      <c r="K307" s="57">
        <v>4</v>
      </c>
    </row>
    <row r="308" spans="1:11" x14ac:dyDescent="0.25">
      <c r="A308" s="42" t="s">
        <v>575</v>
      </c>
      <c r="B308" s="49" t="s">
        <v>271</v>
      </c>
      <c r="C308" s="42" t="s">
        <v>465</v>
      </c>
      <c r="D308" s="145">
        <v>259031813</v>
      </c>
      <c r="E308" s="42" t="s">
        <v>256</v>
      </c>
      <c r="F308" s="84">
        <v>35356</v>
      </c>
      <c r="G308" s="108" t="str">
        <f>CHOOSE(MONTH(F308),"Jan","Feb","Mar","Apr","May","Jun","Jul","Aug","Sep","Oct","Nov","Dec")</f>
        <v>Oct</v>
      </c>
      <c r="H308" s="54">
        <f ca="1">DATEDIF(F308,TODAY(),"Y")</f>
        <v>20</v>
      </c>
      <c r="I308" s="55" t="s">
        <v>262</v>
      </c>
      <c r="J308" s="56">
        <v>45480</v>
      </c>
      <c r="K308" s="57">
        <v>4</v>
      </c>
    </row>
    <row r="309" spans="1:11" x14ac:dyDescent="0.25">
      <c r="A309" s="42" t="s">
        <v>473</v>
      </c>
      <c r="B309" s="49" t="s">
        <v>266</v>
      </c>
      <c r="C309" s="42" t="s">
        <v>465</v>
      </c>
      <c r="D309" s="145">
        <v>433875893</v>
      </c>
      <c r="E309" s="42" t="s">
        <v>247</v>
      </c>
      <c r="F309" s="84">
        <v>35360</v>
      </c>
      <c r="G309" s="108" t="str">
        <f>CHOOSE(MONTH(F309),"Jan","Feb","Mar","Apr","May","Jun","Jul","Aug","Sep","Oct","Nov","Dec")</f>
        <v>Oct</v>
      </c>
      <c r="H309" s="54">
        <f ca="1">DATEDIF(F309,TODAY(),"Y")</f>
        <v>20</v>
      </c>
      <c r="I309" s="55"/>
      <c r="J309" s="56">
        <v>28260</v>
      </c>
      <c r="K309" s="57">
        <v>5</v>
      </c>
    </row>
    <row r="310" spans="1:11" x14ac:dyDescent="0.25">
      <c r="A310" s="42" t="s">
        <v>550</v>
      </c>
      <c r="B310" s="49" t="s">
        <v>266</v>
      </c>
      <c r="C310" s="42" t="s">
        <v>465</v>
      </c>
      <c r="D310" s="145">
        <v>384161218</v>
      </c>
      <c r="E310" s="42" t="s">
        <v>256</v>
      </c>
      <c r="F310" s="84">
        <v>35361</v>
      </c>
      <c r="G310" s="108" t="str">
        <f>CHOOSE(MONTH(F310),"Jan","Feb","Mar","Apr","May","Jun","Jul","Aug","Sep","Oct","Nov","Dec")</f>
        <v>Oct</v>
      </c>
      <c r="H310" s="54">
        <f ca="1">DATEDIF(F310,TODAY(),"Y")</f>
        <v>20</v>
      </c>
      <c r="I310" s="55" t="s">
        <v>257</v>
      </c>
      <c r="J310" s="56">
        <v>59320</v>
      </c>
      <c r="K310" s="57">
        <v>4</v>
      </c>
    </row>
    <row r="311" spans="1:11" x14ac:dyDescent="0.25">
      <c r="A311" s="42" t="s">
        <v>580</v>
      </c>
      <c r="B311" s="49" t="s">
        <v>245</v>
      </c>
      <c r="C311" s="42" t="s">
        <v>465</v>
      </c>
      <c r="D311" s="145">
        <v>555795817</v>
      </c>
      <c r="E311" s="42" t="s">
        <v>256</v>
      </c>
      <c r="F311" s="84">
        <v>35714</v>
      </c>
      <c r="G311" s="108" t="str">
        <f>CHOOSE(MONTH(F311),"Jan","Feb","Mar","Apr","May","Jun","Jul","Aug","Sep","Oct","Nov","Dec")</f>
        <v>Oct</v>
      </c>
      <c r="H311" s="54">
        <f ca="1">DATEDIF(F311,TODAY(),"Y")</f>
        <v>19</v>
      </c>
      <c r="I311" s="55" t="s">
        <v>262</v>
      </c>
      <c r="J311" s="56">
        <v>70020</v>
      </c>
      <c r="K311" s="57">
        <v>3</v>
      </c>
    </row>
    <row r="312" spans="1:11" x14ac:dyDescent="0.25">
      <c r="A312" s="42" t="s">
        <v>504</v>
      </c>
      <c r="B312" s="49" t="s">
        <v>280</v>
      </c>
      <c r="C312" s="42" t="s">
        <v>465</v>
      </c>
      <c r="D312" s="145">
        <v>552732056</v>
      </c>
      <c r="E312" s="42" t="s">
        <v>256</v>
      </c>
      <c r="F312" s="84">
        <v>36084</v>
      </c>
      <c r="G312" s="108" t="str">
        <f>CHOOSE(MONTH(F312),"Jan","Feb","Mar","Apr","May","Jun","Jul","Aug","Sep","Oct","Nov","Dec")</f>
        <v>Oct</v>
      </c>
      <c r="H312" s="54">
        <f ca="1">DATEDIF(F312,TODAY(),"Y")</f>
        <v>18</v>
      </c>
      <c r="I312" s="55" t="s">
        <v>257</v>
      </c>
      <c r="J312" s="56">
        <v>33210</v>
      </c>
      <c r="K312" s="57">
        <v>4</v>
      </c>
    </row>
    <row r="313" spans="1:11" x14ac:dyDescent="0.25">
      <c r="A313" s="42" t="s">
        <v>553</v>
      </c>
      <c r="B313" s="49" t="s">
        <v>245</v>
      </c>
      <c r="C313" s="42" t="s">
        <v>465</v>
      </c>
      <c r="D313" s="145">
        <v>723983510</v>
      </c>
      <c r="E313" s="42" t="s">
        <v>256</v>
      </c>
      <c r="F313" s="84">
        <v>36444</v>
      </c>
      <c r="G313" s="108" t="str">
        <f>CHOOSE(MONTH(F313),"Jan","Feb","Mar","Apr","May","Jun","Jul","Aug","Sep","Oct","Nov","Dec")</f>
        <v>Oct</v>
      </c>
      <c r="H313" s="54">
        <f ca="1">DATEDIF(F313,TODAY(),"Y")</f>
        <v>17</v>
      </c>
      <c r="I313" s="55" t="s">
        <v>257</v>
      </c>
      <c r="J313" s="56">
        <v>67280</v>
      </c>
      <c r="K313" s="57">
        <v>3</v>
      </c>
    </row>
    <row r="314" spans="1:11" x14ac:dyDescent="0.25">
      <c r="A314" s="42" t="s">
        <v>505</v>
      </c>
      <c r="B314" s="49" t="s">
        <v>271</v>
      </c>
      <c r="C314" s="42" t="s">
        <v>465</v>
      </c>
      <c r="D314" s="145">
        <v>867774046</v>
      </c>
      <c r="E314" s="42" t="s">
        <v>247</v>
      </c>
      <c r="F314" s="84">
        <v>36455</v>
      </c>
      <c r="G314" s="108" t="str">
        <f>CHOOSE(MONTH(F314),"Jan","Feb","Mar","Apr","May","Jun","Jul","Aug","Sep","Oct","Nov","Dec")</f>
        <v>Oct</v>
      </c>
      <c r="H314" s="54">
        <f ca="1">DATEDIF(F314,TODAY(),"Y")</f>
        <v>17</v>
      </c>
      <c r="I314" s="55"/>
      <c r="J314" s="56">
        <v>23810</v>
      </c>
      <c r="K314" s="57">
        <v>4</v>
      </c>
    </row>
    <row r="315" spans="1:11" x14ac:dyDescent="0.25">
      <c r="A315" s="42" t="s">
        <v>502</v>
      </c>
      <c r="B315" s="49" t="s">
        <v>266</v>
      </c>
      <c r="C315" s="42" t="s">
        <v>465</v>
      </c>
      <c r="D315" s="145">
        <v>595932450</v>
      </c>
      <c r="E315" s="42" t="s">
        <v>247</v>
      </c>
      <c r="F315" s="84">
        <v>37899</v>
      </c>
      <c r="G315" s="108" t="str">
        <f>CHOOSE(MONTH(F315),"Jan","Feb","Mar","Apr","May","Jun","Jul","Aug","Sep","Oct","Nov","Dec")</f>
        <v>Oct</v>
      </c>
      <c r="H315" s="54">
        <f ca="1">DATEDIF(F315,TODAY(),"Y")</f>
        <v>13</v>
      </c>
      <c r="I315" s="55"/>
      <c r="J315" s="56">
        <v>64220</v>
      </c>
      <c r="K315" s="57">
        <v>5</v>
      </c>
    </row>
    <row r="316" spans="1:11" x14ac:dyDescent="0.25">
      <c r="A316" s="42" t="s">
        <v>544</v>
      </c>
      <c r="B316" s="49" t="s">
        <v>245</v>
      </c>
      <c r="C316" s="42" t="s">
        <v>465</v>
      </c>
      <c r="D316" s="145">
        <v>550001349</v>
      </c>
      <c r="E316" s="42" t="s">
        <v>247</v>
      </c>
      <c r="F316" s="84">
        <v>38289</v>
      </c>
      <c r="G316" s="108" t="str">
        <f>CHOOSE(MONTH(F316),"Jan","Feb","Mar","Apr","May","Jun","Jul","Aug","Sep","Oct","Nov","Dec")</f>
        <v>Oct</v>
      </c>
      <c r="H316" s="54">
        <f ca="1">DATEDIF(F316,TODAY(),"Y")</f>
        <v>12</v>
      </c>
      <c r="I316" s="55"/>
      <c r="J316" s="56">
        <v>71830</v>
      </c>
      <c r="K316" s="57">
        <v>3</v>
      </c>
    </row>
    <row r="317" spans="1:11" x14ac:dyDescent="0.25">
      <c r="A317" s="42" t="s">
        <v>526</v>
      </c>
      <c r="B317" s="49" t="s">
        <v>266</v>
      </c>
      <c r="C317" s="42" t="s">
        <v>465</v>
      </c>
      <c r="D317" s="145">
        <v>685456187</v>
      </c>
      <c r="E317" s="42" t="s">
        <v>252</v>
      </c>
      <c r="F317" s="84">
        <v>39747</v>
      </c>
      <c r="G317" s="108" t="str">
        <f>CHOOSE(MONTH(F317),"Jan","Feb","Mar","Apr","May","Jun","Jul","Aug","Sep","Oct","Nov","Dec")</f>
        <v>Oct</v>
      </c>
      <c r="H317" s="54">
        <f ca="1">DATEDIF(F317,TODAY(),"Y")</f>
        <v>8</v>
      </c>
      <c r="I317" s="55"/>
      <c r="J317" s="56">
        <v>10572</v>
      </c>
      <c r="K317" s="57">
        <v>4</v>
      </c>
    </row>
    <row r="318" spans="1:11" x14ac:dyDescent="0.25">
      <c r="A318" s="42" t="s">
        <v>563</v>
      </c>
      <c r="B318" s="49" t="s">
        <v>271</v>
      </c>
      <c r="C318" s="42" t="s">
        <v>465</v>
      </c>
      <c r="D318" s="145">
        <v>161738778</v>
      </c>
      <c r="E318" s="42" t="s">
        <v>247</v>
      </c>
      <c r="F318" s="84">
        <v>40470</v>
      </c>
      <c r="G318" s="108" t="str">
        <f>CHOOSE(MONTH(F318),"Jan","Feb","Mar","Apr","May","Jun","Jul","Aug","Sep","Oct","Nov","Dec")</f>
        <v>Oct</v>
      </c>
      <c r="H318" s="54">
        <f ca="1">DATEDIF(F318,TODAY(),"Y")</f>
        <v>6</v>
      </c>
      <c r="I318" s="55"/>
      <c r="J318" s="56">
        <v>37840</v>
      </c>
      <c r="K318" s="57">
        <v>1</v>
      </c>
    </row>
    <row r="319" spans="1:11" x14ac:dyDescent="0.25">
      <c r="A319" s="42" t="s">
        <v>611</v>
      </c>
      <c r="B319" s="49" t="s">
        <v>245</v>
      </c>
      <c r="C319" s="42" t="s">
        <v>465</v>
      </c>
      <c r="D319" s="145">
        <v>842218184</v>
      </c>
      <c r="E319" s="42" t="s">
        <v>256</v>
      </c>
      <c r="F319" s="84">
        <v>35020</v>
      </c>
      <c r="G319" s="108" t="str">
        <f>CHOOSE(MONTH(F319),"Jan","Feb","Mar","Apr","May","Jun","Jul","Aug","Sep","Oct","Nov","Dec")</f>
        <v>Nov</v>
      </c>
      <c r="H319" s="54">
        <f ca="1">DATEDIF(F319,TODAY(),"Y")</f>
        <v>20</v>
      </c>
      <c r="I319" s="55" t="s">
        <v>262</v>
      </c>
      <c r="J319" s="56">
        <v>38940</v>
      </c>
      <c r="K319" s="57">
        <v>2</v>
      </c>
    </row>
    <row r="320" spans="1:11" x14ac:dyDescent="0.25">
      <c r="A320" s="42" t="s">
        <v>495</v>
      </c>
      <c r="B320" s="49" t="s">
        <v>285</v>
      </c>
      <c r="C320" s="42" t="s">
        <v>465</v>
      </c>
      <c r="D320" s="145">
        <v>443686803</v>
      </c>
      <c r="E320" s="42" t="s">
        <v>256</v>
      </c>
      <c r="F320" s="84">
        <v>35024</v>
      </c>
      <c r="G320" s="108" t="str">
        <f>CHOOSE(MONTH(F320),"Jan","Feb","Mar","Apr","May","Jun","Jul","Aug","Sep","Oct","Nov","Dec")</f>
        <v>Nov</v>
      </c>
      <c r="H320" s="54">
        <f ca="1">DATEDIF(F320,TODAY(),"Y")</f>
        <v>20</v>
      </c>
      <c r="I320" s="55" t="s">
        <v>283</v>
      </c>
      <c r="J320" s="56">
        <v>73072</v>
      </c>
      <c r="K320" s="57">
        <v>5</v>
      </c>
    </row>
    <row r="321" spans="1:11" x14ac:dyDescent="0.25">
      <c r="A321" s="42" t="s">
        <v>570</v>
      </c>
      <c r="B321" s="49" t="s">
        <v>271</v>
      </c>
      <c r="C321" s="42" t="s">
        <v>465</v>
      </c>
      <c r="D321" s="145">
        <v>477177544</v>
      </c>
      <c r="E321" s="42" t="s">
        <v>247</v>
      </c>
      <c r="F321" s="84">
        <v>35379</v>
      </c>
      <c r="G321" s="108" t="str">
        <f>CHOOSE(MONTH(F321),"Jan","Feb","Mar","Apr","May","Jun","Jul","Aug","Sep","Oct","Nov","Dec")</f>
        <v>Nov</v>
      </c>
      <c r="H321" s="54">
        <f ca="1">DATEDIF(F321,TODAY(),"Y")</f>
        <v>19</v>
      </c>
      <c r="I321" s="55"/>
      <c r="J321" s="56">
        <v>66010</v>
      </c>
      <c r="K321" s="57">
        <v>2</v>
      </c>
    </row>
    <row r="322" spans="1:11" x14ac:dyDescent="0.25">
      <c r="A322" s="42" t="s">
        <v>568</v>
      </c>
      <c r="B322" s="49" t="s">
        <v>271</v>
      </c>
      <c r="C322" s="42" t="s">
        <v>465</v>
      </c>
      <c r="D322" s="145">
        <v>546182608</v>
      </c>
      <c r="E322" s="42" t="s">
        <v>256</v>
      </c>
      <c r="F322" s="84">
        <v>36101</v>
      </c>
      <c r="G322" s="108" t="str">
        <f>CHOOSE(MONTH(F322),"Jan","Feb","Mar","Apr","May","Jun","Jul","Aug","Sep","Oct","Nov","Dec")</f>
        <v>Nov</v>
      </c>
      <c r="H322" s="54">
        <f ca="1">DATEDIF(F322,TODAY(),"Y")</f>
        <v>18</v>
      </c>
      <c r="I322" s="55" t="s">
        <v>257</v>
      </c>
      <c r="J322" s="56">
        <v>88240</v>
      </c>
      <c r="K322" s="57">
        <v>5</v>
      </c>
    </row>
    <row r="323" spans="1:11" x14ac:dyDescent="0.25">
      <c r="A323" s="42" t="s">
        <v>490</v>
      </c>
      <c r="B323" s="49" t="s">
        <v>245</v>
      </c>
      <c r="C323" s="42" t="s">
        <v>465</v>
      </c>
      <c r="D323" s="145">
        <v>122640584</v>
      </c>
      <c r="E323" s="42" t="s">
        <v>256</v>
      </c>
      <c r="F323" s="84">
        <v>36122</v>
      </c>
      <c r="G323" s="108" t="str">
        <f>CHOOSE(MONTH(F323),"Jan","Feb","Mar","Apr","May","Jun","Jul","Aug","Sep","Oct","Nov","Dec")</f>
        <v>Nov</v>
      </c>
      <c r="H323" s="54">
        <f ca="1">DATEDIF(F323,TODAY(),"Y")</f>
        <v>17</v>
      </c>
      <c r="I323" s="55" t="s">
        <v>262</v>
      </c>
      <c r="J323" s="56">
        <v>22660</v>
      </c>
      <c r="K323" s="57">
        <v>2</v>
      </c>
    </row>
    <row r="324" spans="1:11" x14ac:dyDescent="0.25">
      <c r="A324" s="42" t="s">
        <v>528</v>
      </c>
      <c r="B324" s="49" t="s">
        <v>266</v>
      </c>
      <c r="C324" s="42" t="s">
        <v>465</v>
      </c>
      <c r="D324" s="145">
        <v>910672133</v>
      </c>
      <c r="E324" s="42" t="s">
        <v>256</v>
      </c>
      <c r="F324" s="84">
        <v>37936</v>
      </c>
      <c r="G324" s="108" t="str">
        <f>CHOOSE(MONTH(F324),"Jan","Feb","Mar","Apr","May","Jun","Jul","Aug","Sep","Oct","Nov","Dec")</f>
        <v>Nov</v>
      </c>
      <c r="H324" s="54">
        <f ca="1">DATEDIF(F324,TODAY(),"Y")</f>
        <v>12</v>
      </c>
      <c r="I324" s="55" t="s">
        <v>283</v>
      </c>
      <c r="J324" s="56">
        <v>30920</v>
      </c>
      <c r="K324" s="57">
        <v>5</v>
      </c>
    </row>
    <row r="325" spans="1:11" x14ac:dyDescent="0.25">
      <c r="A325" s="42" t="s">
        <v>503</v>
      </c>
      <c r="B325" s="49" t="s">
        <v>271</v>
      </c>
      <c r="C325" s="42" t="s">
        <v>465</v>
      </c>
      <c r="D325" s="145">
        <v>705336720</v>
      </c>
      <c r="E325" s="42" t="s">
        <v>256</v>
      </c>
      <c r="F325" s="84">
        <v>37943</v>
      </c>
      <c r="G325" s="108" t="str">
        <f>CHOOSE(MONTH(F325),"Jan","Feb","Mar","Apr","May","Jun","Jul","Aug","Sep","Oct","Nov","Dec")</f>
        <v>Nov</v>
      </c>
      <c r="H325" s="54">
        <f ca="1">DATEDIF(F325,TODAY(),"Y")</f>
        <v>12</v>
      </c>
      <c r="I325" s="55" t="s">
        <v>257</v>
      </c>
      <c r="J325" s="56">
        <v>75176</v>
      </c>
      <c r="K325" s="57">
        <v>3</v>
      </c>
    </row>
    <row r="326" spans="1:11" x14ac:dyDescent="0.25">
      <c r="A326" s="42" t="s">
        <v>508</v>
      </c>
      <c r="B326" s="49" t="s">
        <v>285</v>
      </c>
      <c r="C326" s="42" t="s">
        <v>465</v>
      </c>
      <c r="D326" s="145">
        <v>272167923</v>
      </c>
      <c r="E326" s="42" t="s">
        <v>247</v>
      </c>
      <c r="F326" s="84">
        <v>38321</v>
      </c>
      <c r="G326" s="108" t="str">
        <f>CHOOSE(MONTH(F326),"Jan","Feb","Mar","Apr","May","Jun","Jul","Aug","Sep","Oct","Nov","Dec")</f>
        <v>Nov</v>
      </c>
      <c r="H326" s="54">
        <f ca="1">DATEDIF(F326,TODAY(),"Y")</f>
        <v>11</v>
      </c>
      <c r="I326" s="55"/>
      <c r="J326" s="56">
        <v>37980</v>
      </c>
      <c r="K326" s="57">
        <v>4</v>
      </c>
    </row>
    <row r="327" spans="1:11" x14ac:dyDescent="0.25">
      <c r="A327" s="42" t="s">
        <v>516</v>
      </c>
      <c r="B327" s="49" t="s">
        <v>266</v>
      </c>
      <c r="C327" s="42" t="s">
        <v>465</v>
      </c>
      <c r="D327" s="145">
        <v>907064634</v>
      </c>
      <c r="E327" s="42" t="s">
        <v>256</v>
      </c>
      <c r="F327" s="84">
        <v>38321</v>
      </c>
      <c r="G327" s="108" t="str">
        <f>CHOOSE(MONTH(F327),"Jan","Feb","Mar","Apr","May","Jun","Jul","Aug","Sep","Oct","Nov","Dec")</f>
        <v>Nov</v>
      </c>
      <c r="H327" s="54">
        <f ca="1">DATEDIF(F327,TODAY(),"Y")</f>
        <v>11</v>
      </c>
      <c r="I327" s="55" t="s">
        <v>262</v>
      </c>
      <c r="J327" s="56">
        <v>70760</v>
      </c>
      <c r="K327" s="57">
        <v>1</v>
      </c>
    </row>
    <row r="328" spans="1:11" x14ac:dyDescent="0.25">
      <c r="A328" s="42" t="s">
        <v>583</v>
      </c>
      <c r="B328" s="49" t="s">
        <v>285</v>
      </c>
      <c r="C328" s="42" t="s">
        <v>465</v>
      </c>
      <c r="D328" s="145">
        <v>958491107</v>
      </c>
      <c r="E328" s="42" t="s">
        <v>256</v>
      </c>
      <c r="F328" s="84">
        <v>38664</v>
      </c>
      <c r="G328" s="108" t="str">
        <f>CHOOSE(MONTH(F328),"Jan","Feb","Mar","Apr","May","Jun","Jul","Aug","Sep","Oct","Nov","Dec")</f>
        <v>Nov</v>
      </c>
      <c r="H328" s="54">
        <f ca="1">DATEDIF(F328,TODAY(),"Y")</f>
        <v>11</v>
      </c>
      <c r="I328" s="55" t="s">
        <v>257</v>
      </c>
      <c r="J328" s="56">
        <v>61060</v>
      </c>
      <c r="K328" s="57">
        <v>5</v>
      </c>
    </row>
    <row r="329" spans="1:11" x14ac:dyDescent="0.25">
      <c r="A329" s="42" t="s">
        <v>564</v>
      </c>
      <c r="B329" s="49" t="s">
        <v>271</v>
      </c>
      <c r="C329" s="42" t="s">
        <v>465</v>
      </c>
      <c r="D329" s="145">
        <v>345428470</v>
      </c>
      <c r="E329" s="42" t="s">
        <v>256</v>
      </c>
      <c r="F329" s="84">
        <v>39390</v>
      </c>
      <c r="G329" s="108" t="str">
        <f>CHOOSE(MONTH(F329),"Jan","Feb","Mar","Apr","May","Jun","Jul","Aug","Sep","Oct","Nov","Dec")</f>
        <v>Nov</v>
      </c>
      <c r="H329" s="54">
        <f ca="1">DATEDIF(F329,TODAY(),"Y")</f>
        <v>9</v>
      </c>
      <c r="I329" s="55" t="s">
        <v>267</v>
      </c>
      <c r="J329" s="56">
        <v>71490</v>
      </c>
      <c r="K329" s="57">
        <v>5</v>
      </c>
    </row>
    <row r="330" spans="1:11" x14ac:dyDescent="0.25">
      <c r="A330" s="42" t="s">
        <v>488</v>
      </c>
      <c r="B330" s="49" t="s">
        <v>266</v>
      </c>
      <c r="C330" s="42" t="s">
        <v>465</v>
      </c>
      <c r="D330" s="145">
        <v>642997417</v>
      </c>
      <c r="E330" s="42" t="s">
        <v>247</v>
      </c>
      <c r="F330" s="84">
        <v>34671</v>
      </c>
      <c r="G330" s="108" t="str">
        <f>CHOOSE(MONTH(F330),"Jan","Feb","Mar","Apr","May","Jun","Jul","Aug","Sep","Oct","Nov","Dec")</f>
        <v>Dec</v>
      </c>
      <c r="H330" s="54">
        <f ca="1">DATEDIF(F330,TODAY(),"Y")</f>
        <v>21</v>
      </c>
      <c r="I330" s="55"/>
      <c r="J330" s="56">
        <v>80690</v>
      </c>
      <c r="K330" s="57">
        <v>3</v>
      </c>
    </row>
    <row r="331" spans="1:11" x14ac:dyDescent="0.25">
      <c r="A331" s="42" t="s">
        <v>521</v>
      </c>
      <c r="B331" s="49" t="s">
        <v>271</v>
      </c>
      <c r="C331" s="42" t="s">
        <v>465</v>
      </c>
      <c r="D331" s="145">
        <v>345651549</v>
      </c>
      <c r="E331" s="42" t="s">
        <v>261</v>
      </c>
      <c r="F331" s="84">
        <v>36503</v>
      </c>
      <c r="G331" s="108" t="str">
        <f>CHOOSE(MONTH(F331),"Jan","Feb","Mar","Apr","May","Jun","Jul","Aug","Sep","Oct","Nov","Dec")</f>
        <v>Dec</v>
      </c>
      <c r="H331" s="54">
        <f ca="1">DATEDIF(F331,TODAY(),"Y")</f>
        <v>16</v>
      </c>
      <c r="I331" s="55" t="s">
        <v>267</v>
      </c>
      <c r="J331" s="56">
        <v>41615</v>
      </c>
      <c r="K331" s="57">
        <v>1</v>
      </c>
    </row>
    <row r="332" spans="1:11" x14ac:dyDescent="0.25">
      <c r="A332" s="42" t="s">
        <v>558</v>
      </c>
      <c r="B332" s="49" t="s">
        <v>280</v>
      </c>
      <c r="C332" s="42" t="s">
        <v>465</v>
      </c>
      <c r="D332" s="145">
        <v>559708965</v>
      </c>
      <c r="E332" s="42" t="s">
        <v>256</v>
      </c>
      <c r="F332" s="84">
        <v>37229</v>
      </c>
      <c r="G332" s="108" t="str">
        <f>CHOOSE(MONTH(F332),"Jan","Feb","Mar","Apr","May","Jun","Jul","Aug","Sep","Oct","Nov","Dec")</f>
        <v>Dec</v>
      </c>
      <c r="H332" s="54">
        <f ca="1">DATEDIF(F332,TODAY(),"Y")</f>
        <v>14</v>
      </c>
      <c r="I332" s="55" t="s">
        <v>283</v>
      </c>
      <c r="J332" s="56">
        <v>25310</v>
      </c>
      <c r="K332" s="57">
        <v>4</v>
      </c>
    </row>
    <row r="333" spans="1:11" x14ac:dyDescent="0.25">
      <c r="A333" s="42" t="s">
        <v>527</v>
      </c>
      <c r="B333" s="49" t="s">
        <v>245</v>
      </c>
      <c r="C333" s="42" t="s">
        <v>465</v>
      </c>
      <c r="D333" s="145">
        <v>756744378</v>
      </c>
      <c r="E333" s="42" t="s">
        <v>261</v>
      </c>
      <c r="F333" s="84">
        <v>37620</v>
      </c>
      <c r="G333" s="108" t="str">
        <f>CHOOSE(MONTH(F333),"Jan","Feb","Mar","Apr","May","Jun","Jul","Aug","Sep","Oct","Nov","Dec")</f>
        <v>Dec</v>
      </c>
      <c r="H333" s="54">
        <f ca="1">DATEDIF(F333,TODAY(),"Y")</f>
        <v>13</v>
      </c>
      <c r="I333" s="55" t="s">
        <v>257</v>
      </c>
      <c r="J333" s="56">
        <v>24460</v>
      </c>
      <c r="K333" s="57">
        <v>1</v>
      </c>
    </row>
    <row r="334" spans="1:11" x14ac:dyDescent="0.25">
      <c r="A334" s="42" t="s">
        <v>581</v>
      </c>
      <c r="B334" s="49" t="s">
        <v>266</v>
      </c>
      <c r="C334" s="42" t="s">
        <v>465</v>
      </c>
      <c r="D334" s="145">
        <v>685943972</v>
      </c>
      <c r="E334" s="42" t="s">
        <v>256</v>
      </c>
      <c r="F334" s="84">
        <v>40175</v>
      </c>
      <c r="G334" s="108" t="str">
        <f>CHOOSE(MONTH(F334),"Jan","Feb","Mar","Apr","May","Jun","Jul","Aug","Sep","Oct","Nov","Dec")</f>
        <v>Dec</v>
      </c>
      <c r="H334" s="54">
        <f ca="1">DATEDIF(F334,TODAY(),"Y")</f>
        <v>6</v>
      </c>
      <c r="I334" s="55" t="s">
        <v>267</v>
      </c>
      <c r="J334" s="56">
        <v>34690</v>
      </c>
      <c r="K334" s="57">
        <v>2</v>
      </c>
    </row>
    <row r="335" spans="1:11" x14ac:dyDescent="0.25">
      <c r="A335" s="42" t="s">
        <v>620</v>
      </c>
      <c r="B335" s="49" t="s">
        <v>266</v>
      </c>
      <c r="C335" s="42" t="s">
        <v>618</v>
      </c>
      <c r="D335" s="145">
        <v>120345438</v>
      </c>
      <c r="E335" s="42" t="s">
        <v>247</v>
      </c>
      <c r="F335" s="106">
        <v>40292</v>
      </c>
      <c r="G335" s="108" t="str">
        <f>CHOOSE(MONTH(F335),"Jan","Feb","Mar","Apr","May","Jun","Jul","Aug","Sep","Oct","Nov","Dec")</f>
        <v>Apr</v>
      </c>
      <c r="H335" s="54">
        <f ca="1">DATEDIF(F335,TODAY(),"Y")</f>
        <v>6</v>
      </c>
      <c r="I335" s="55"/>
      <c r="J335" s="56">
        <v>61890</v>
      </c>
      <c r="K335" s="57">
        <v>2</v>
      </c>
    </row>
    <row r="336" spans="1:11" x14ac:dyDescent="0.25">
      <c r="A336" s="42" t="s">
        <v>624</v>
      </c>
      <c r="B336" s="49" t="s">
        <v>251</v>
      </c>
      <c r="C336" s="42" t="s">
        <v>618</v>
      </c>
      <c r="D336" s="145">
        <v>207045843</v>
      </c>
      <c r="E336" s="42" t="s">
        <v>256</v>
      </c>
      <c r="F336" s="84">
        <v>37407</v>
      </c>
      <c r="G336" s="108" t="str">
        <f>CHOOSE(MONTH(F336),"Jan","Feb","Mar","Apr","May","Jun","Jul","Aug","Sep","Oct","Nov","Dec")</f>
        <v>May</v>
      </c>
      <c r="H336" s="54">
        <f ca="1">DATEDIF(F336,TODAY(),"Y")</f>
        <v>14</v>
      </c>
      <c r="I336" s="55" t="s">
        <v>257</v>
      </c>
      <c r="J336" s="56">
        <v>59140</v>
      </c>
      <c r="K336" s="57">
        <v>5</v>
      </c>
    </row>
    <row r="337" spans="1:11" x14ac:dyDescent="0.25">
      <c r="A337" s="42" t="s">
        <v>623</v>
      </c>
      <c r="B337" s="49" t="s">
        <v>266</v>
      </c>
      <c r="C337" s="42" t="s">
        <v>618</v>
      </c>
      <c r="D337" s="145">
        <v>239619427</v>
      </c>
      <c r="E337" s="42" t="s">
        <v>256</v>
      </c>
      <c r="F337" s="106">
        <v>40313</v>
      </c>
      <c r="G337" s="108" t="str">
        <f>CHOOSE(MONTH(F337),"Jan","Feb","Mar","Apr","May","Jun","Jul","Aug","Sep","Oct","Nov","Dec")</f>
        <v>May</v>
      </c>
      <c r="H337" s="54">
        <f ca="1">DATEDIF(F337,TODAY(),"Y")</f>
        <v>6</v>
      </c>
      <c r="I337" s="55" t="s">
        <v>283</v>
      </c>
      <c r="J337" s="56">
        <v>27250</v>
      </c>
      <c r="K337" s="57">
        <v>5</v>
      </c>
    </row>
    <row r="338" spans="1:11" x14ac:dyDescent="0.25">
      <c r="A338" s="42" t="s">
        <v>619</v>
      </c>
      <c r="B338" s="49" t="s">
        <v>280</v>
      </c>
      <c r="C338" s="42" t="s">
        <v>618</v>
      </c>
      <c r="D338" s="145">
        <v>990297868</v>
      </c>
      <c r="E338" s="42" t="s">
        <v>256</v>
      </c>
      <c r="F338" s="84">
        <v>33832</v>
      </c>
      <c r="G338" s="108" t="str">
        <f>CHOOSE(MONTH(F338),"Jan","Feb","Mar","Apr","May","Jun","Jul","Aug","Sep","Oct","Nov","Dec")</f>
        <v>Aug</v>
      </c>
      <c r="H338" s="54">
        <f ca="1">DATEDIF(F338,TODAY(),"Y")</f>
        <v>24</v>
      </c>
      <c r="I338" s="55" t="s">
        <v>257</v>
      </c>
      <c r="J338" s="56">
        <v>39160</v>
      </c>
      <c r="K338" s="57">
        <v>3</v>
      </c>
    </row>
    <row r="339" spans="1:11" x14ac:dyDescent="0.25">
      <c r="A339" s="42" t="s">
        <v>617</v>
      </c>
      <c r="B339" s="49" t="s">
        <v>245</v>
      </c>
      <c r="C339" s="42" t="s">
        <v>618</v>
      </c>
      <c r="D339" s="145">
        <v>514726375</v>
      </c>
      <c r="E339" s="42" t="s">
        <v>247</v>
      </c>
      <c r="F339" s="84">
        <v>36765</v>
      </c>
      <c r="G339" s="108" t="str">
        <f>CHOOSE(MONTH(F339),"Jan","Feb","Mar","Apr","May","Jun","Jul","Aug","Sep","Oct","Nov","Dec")</f>
        <v>Aug</v>
      </c>
      <c r="H339" s="54">
        <f ca="1">DATEDIF(F339,TODAY(),"Y")</f>
        <v>16</v>
      </c>
      <c r="I339" s="55"/>
      <c r="J339" s="56">
        <v>74500</v>
      </c>
      <c r="K339" s="57">
        <v>4</v>
      </c>
    </row>
    <row r="340" spans="1:11" x14ac:dyDescent="0.25">
      <c r="A340" s="42" t="s">
        <v>621</v>
      </c>
      <c r="B340" s="49" t="s">
        <v>285</v>
      </c>
      <c r="C340" s="42" t="s">
        <v>618</v>
      </c>
      <c r="D340" s="145">
        <v>322939853</v>
      </c>
      <c r="E340" s="42" t="s">
        <v>256</v>
      </c>
      <c r="F340" s="84">
        <v>37936</v>
      </c>
      <c r="G340" s="108" t="str">
        <f>CHOOSE(MONTH(F340),"Jan","Feb","Mar","Apr","May","Jun","Jul","Aug","Sep","Oct","Nov","Dec")</f>
        <v>Nov</v>
      </c>
      <c r="H340" s="54">
        <f ca="1">DATEDIF(F340,TODAY(),"Y")</f>
        <v>12</v>
      </c>
      <c r="I340" s="55" t="s">
        <v>283</v>
      </c>
      <c r="J340" s="56">
        <v>53870</v>
      </c>
      <c r="K340" s="57">
        <v>2</v>
      </c>
    </row>
    <row r="341" spans="1:11" x14ac:dyDescent="0.25">
      <c r="A341" s="42" t="s">
        <v>622</v>
      </c>
      <c r="B341" s="49" t="s">
        <v>245</v>
      </c>
      <c r="C341" s="42" t="s">
        <v>618</v>
      </c>
      <c r="D341" s="145">
        <v>827551891</v>
      </c>
      <c r="E341" s="42" t="s">
        <v>256</v>
      </c>
      <c r="F341" s="84">
        <v>39038</v>
      </c>
      <c r="G341" s="108" t="str">
        <f>CHOOSE(MONTH(F341),"Jan","Feb","Mar","Apr","May","Jun","Jul","Aug","Sep","Oct","Nov","Dec")</f>
        <v>Nov</v>
      </c>
      <c r="H341" s="54">
        <f ca="1">DATEDIF(F341,TODAY(),"Y")</f>
        <v>9</v>
      </c>
      <c r="I341" s="55" t="s">
        <v>276</v>
      </c>
      <c r="J341" s="56">
        <v>71400</v>
      </c>
      <c r="K341" s="57">
        <v>4</v>
      </c>
    </row>
    <row r="342" spans="1:11" x14ac:dyDescent="0.25">
      <c r="A342" s="42" t="s">
        <v>672</v>
      </c>
      <c r="B342" s="49" t="s">
        <v>280</v>
      </c>
      <c r="C342" s="42" t="s">
        <v>626</v>
      </c>
      <c r="D342" s="145">
        <v>171825470</v>
      </c>
      <c r="E342" s="42" t="s">
        <v>256</v>
      </c>
      <c r="F342" s="84">
        <v>33247</v>
      </c>
      <c r="G342" s="108" t="str">
        <f>CHOOSE(MONTH(F342),"Jan","Feb","Mar","Apr","May","Jun","Jul","Aug","Sep","Oct","Nov","Dec")</f>
        <v>Jan</v>
      </c>
      <c r="H342" s="54">
        <f ca="1">DATEDIF(F342,TODAY(),"Y")</f>
        <v>25</v>
      </c>
      <c r="I342" s="55" t="s">
        <v>257</v>
      </c>
      <c r="J342" s="56">
        <v>62740</v>
      </c>
      <c r="K342" s="57">
        <v>4</v>
      </c>
    </row>
    <row r="343" spans="1:11" x14ac:dyDescent="0.25">
      <c r="A343" s="42" t="s">
        <v>651</v>
      </c>
      <c r="B343" s="49" t="s">
        <v>285</v>
      </c>
      <c r="C343" s="42" t="s">
        <v>626</v>
      </c>
      <c r="D343" s="145">
        <v>694065556</v>
      </c>
      <c r="E343" s="42" t="s">
        <v>256</v>
      </c>
      <c r="F343" s="84">
        <v>33606</v>
      </c>
      <c r="G343" s="108" t="str">
        <f>CHOOSE(MONTH(F343),"Jan","Feb","Mar","Apr","May","Jun","Jul","Aug","Sep","Oct","Nov","Dec")</f>
        <v>Jan</v>
      </c>
      <c r="H343" s="54">
        <f ca="1">DATEDIF(F343,TODAY(),"Y")</f>
        <v>24</v>
      </c>
      <c r="I343" s="55" t="s">
        <v>262</v>
      </c>
      <c r="J343" s="56">
        <v>87120</v>
      </c>
      <c r="K343" s="57">
        <v>3</v>
      </c>
    </row>
    <row r="344" spans="1:11" x14ac:dyDescent="0.25">
      <c r="A344" s="42" t="s">
        <v>627</v>
      </c>
      <c r="B344" s="49" t="s">
        <v>285</v>
      </c>
      <c r="C344" s="42" t="s">
        <v>626</v>
      </c>
      <c r="D344" s="145">
        <v>943448320</v>
      </c>
      <c r="E344" s="42" t="s">
        <v>261</v>
      </c>
      <c r="F344" s="84">
        <v>38362</v>
      </c>
      <c r="G344" s="108" t="str">
        <f>CHOOSE(MONTH(F344),"Jan","Feb","Mar","Apr","May","Jun","Jul","Aug","Sep","Oct","Nov","Dec")</f>
        <v>Jan</v>
      </c>
      <c r="H344" s="54">
        <f ca="1">DATEDIF(F344,TODAY(),"Y")</f>
        <v>11</v>
      </c>
      <c r="I344" s="55" t="s">
        <v>257</v>
      </c>
      <c r="J344" s="56">
        <v>31255</v>
      </c>
      <c r="K344" s="57">
        <v>5</v>
      </c>
    </row>
    <row r="345" spans="1:11" x14ac:dyDescent="0.25">
      <c r="A345" s="42" t="s">
        <v>629</v>
      </c>
      <c r="B345" s="49" t="s">
        <v>245</v>
      </c>
      <c r="C345" s="42" t="s">
        <v>626</v>
      </c>
      <c r="D345" s="145">
        <v>862506782</v>
      </c>
      <c r="E345" s="42" t="s">
        <v>261</v>
      </c>
      <c r="F345" s="84">
        <v>39098</v>
      </c>
      <c r="G345" s="108" t="str">
        <f>CHOOSE(MONTH(F345),"Jan","Feb","Mar","Apr","May","Jun","Jul","Aug","Sep","Oct","Nov","Dec")</f>
        <v>Jan</v>
      </c>
      <c r="H345" s="54">
        <f ca="1">DATEDIF(F345,TODAY(),"Y")</f>
        <v>9</v>
      </c>
      <c r="I345" s="55" t="s">
        <v>283</v>
      </c>
      <c r="J345" s="56">
        <v>47705</v>
      </c>
      <c r="K345" s="57">
        <v>5</v>
      </c>
    </row>
    <row r="346" spans="1:11" x14ac:dyDescent="0.25">
      <c r="A346" s="42" t="s">
        <v>644</v>
      </c>
      <c r="B346" s="49" t="s">
        <v>271</v>
      </c>
      <c r="C346" s="42" t="s">
        <v>626</v>
      </c>
      <c r="D346" s="145">
        <v>885791115</v>
      </c>
      <c r="E346" s="42" t="s">
        <v>256</v>
      </c>
      <c r="F346" s="84">
        <v>40209</v>
      </c>
      <c r="G346" s="108" t="str">
        <f>CHOOSE(MONTH(F346),"Jan","Feb","Mar","Apr","May","Jun","Jul","Aug","Sep","Oct","Nov","Dec")</f>
        <v>Jan</v>
      </c>
      <c r="H346" s="54">
        <f ca="1">DATEDIF(F346,TODAY(),"Y")</f>
        <v>6</v>
      </c>
      <c r="I346" s="55" t="s">
        <v>283</v>
      </c>
      <c r="J346" s="56">
        <v>45260</v>
      </c>
      <c r="K346" s="57">
        <v>4</v>
      </c>
    </row>
    <row r="347" spans="1:11" x14ac:dyDescent="0.25">
      <c r="A347" s="42" t="s">
        <v>657</v>
      </c>
      <c r="B347" s="49" t="s">
        <v>245</v>
      </c>
      <c r="C347" s="42" t="s">
        <v>626</v>
      </c>
      <c r="D347" s="145">
        <v>677986742</v>
      </c>
      <c r="E347" s="42" t="s">
        <v>247</v>
      </c>
      <c r="F347" s="84">
        <v>36192</v>
      </c>
      <c r="G347" s="108" t="str">
        <f>CHOOSE(MONTH(F347),"Jan","Feb","Mar","Apr","May","Jun","Jul","Aug","Sep","Oct","Nov","Dec")</f>
        <v>Feb</v>
      </c>
      <c r="H347" s="54">
        <f ca="1">DATEDIF(F347,TODAY(),"Y")</f>
        <v>17</v>
      </c>
      <c r="I347" s="55"/>
      <c r="J347" s="56">
        <v>47620</v>
      </c>
      <c r="K347" s="57">
        <v>5</v>
      </c>
    </row>
    <row r="348" spans="1:11" x14ac:dyDescent="0.25">
      <c r="A348" s="42" t="s">
        <v>664</v>
      </c>
      <c r="B348" s="49" t="s">
        <v>251</v>
      </c>
      <c r="C348" s="42" t="s">
        <v>626</v>
      </c>
      <c r="D348" s="145">
        <v>917381822</v>
      </c>
      <c r="E348" s="42" t="s">
        <v>247</v>
      </c>
      <c r="F348" s="84">
        <v>36199</v>
      </c>
      <c r="G348" s="108" t="str">
        <f>CHOOSE(MONTH(F348),"Jan","Feb","Mar","Apr","May","Jun","Jul","Aug","Sep","Oct","Nov","Dec")</f>
        <v>Feb</v>
      </c>
      <c r="H348" s="54">
        <f ca="1">DATEDIF(F348,TODAY(),"Y")</f>
        <v>17</v>
      </c>
      <c r="I348" s="55"/>
      <c r="J348" s="56">
        <v>31270</v>
      </c>
      <c r="K348" s="57">
        <v>5</v>
      </c>
    </row>
    <row r="349" spans="1:11" x14ac:dyDescent="0.25">
      <c r="A349" s="42" t="s">
        <v>665</v>
      </c>
      <c r="B349" s="49" t="s">
        <v>245</v>
      </c>
      <c r="C349" s="42" t="s">
        <v>626</v>
      </c>
      <c r="D349" s="145">
        <v>979116858</v>
      </c>
      <c r="E349" s="42" t="s">
        <v>256</v>
      </c>
      <c r="F349" s="84">
        <v>36940</v>
      </c>
      <c r="G349" s="108" t="str">
        <f>CHOOSE(MONTH(F349),"Jan","Feb","Mar","Apr","May","Jun","Jul","Aug","Sep","Oct","Nov","Dec")</f>
        <v>Feb</v>
      </c>
      <c r="H349" s="54">
        <f ca="1">DATEDIF(F349,TODAY(),"Y")</f>
        <v>15</v>
      </c>
      <c r="I349" s="55" t="s">
        <v>257</v>
      </c>
      <c r="J349" s="56">
        <v>48990</v>
      </c>
      <c r="K349" s="57">
        <v>5</v>
      </c>
    </row>
    <row r="350" spans="1:11" x14ac:dyDescent="0.25">
      <c r="A350" s="42" t="s">
        <v>653</v>
      </c>
      <c r="B350" s="49" t="s">
        <v>245</v>
      </c>
      <c r="C350" s="42" t="s">
        <v>626</v>
      </c>
      <c r="D350" s="145">
        <v>682361988</v>
      </c>
      <c r="E350" s="42" t="s">
        <v>261</v>
      </c>
      <c r="F350" s="84">
        <v>39871</v>
      </c>
      <c r="G350" s="108" t="str">
        <f>CHOOSE(MONTH(F350),"Jan","Feb","Mar","Apr","May","Jun","Jul","Aug","Sep","Oct","Nov","Dec")</f>
        <v>Feb</v>
      </c>
      <c r="H350" s="54">
        <f ca="1">DATEDIF(F350,TODAY(),"Y")</f>
        <v>7</v>
      </c>
      <c r="I350" s="55" t="s">
        <v>267</v>
      </c>
      <c r="J350" s="56">
        <v>38575</v>
      </c>
      <c r="K350" s="57">
        <v>2</v>
      </c>
    </row>
    <row r="351" spans="1:11" x14ac:dyDescent="0.25">
      <c r="A351" s="42" t="s">
        <v>654</v>
      </c>
      <c r="B351" s="49" t="s">
        <v>285</v>
      </c>
      <c r="C351" s="42" t="s">
        <v>626</v>
      </c>
      <c r="D351" s="145">
        <v>767017228</v>
      </c>
      <c r="E351" s="42" t="s">
        <v>252</v>
      </c>
      <c r="F351" s="84">
        <v>33305</v>
      </c>
      <c r="G351" s="108" t="str">
        <f>CHOOSE(MONTH(F351),"Jan","Feb","Mar","Apr","May","Jun","Jul","Aug","Sep","Oct","Nov","Dec")</f>
        <v>Mar</v>
      </c>
      <c r="H351" s="54">
        <f ca="1">DATEDIF(F351,TODAY(),"Y")</f>
        <v>25</v>
      </c>
      <c r="I351" s="55"/>
      <c r="J351" s="56">
        <v>36844</v>
      </c>
      <c r="K351" s="57">
        <v>4</v>
      </c>
    </row>
    <row r="352" spans="1:11" x14ac:dyDescent="0.25">
      <c r="A352" s="42" t="s">
        <v>643</v>
      </c>
      <c r="B352" s="49" t="s">
        <v>271</v>
      </c>
      <c r="C352" s="42" t="s">
        <v>626</v>
      </c>
      <c r="D352" s="145">
        <v>399139820</v>
      </c>
      <c r="E352" s="42" t="s">
        <v>261</v>
      </c>
      <c r="F352" s="84">
        <v>33319</v>
      </c>
      <c r="G352" s="108" t="str">
        <f>CHOOSE(MONTH(F352),"Jan","Feb","Mar","Apr","May","Jun","Jul","Aug","Sep","Oct","Nov","Dec")</f>
        <v>Mar</v>
      </c>
      <c r="H352" s="54">
        <f ca="1">DATEDIF(F352,TODAY(),"Y")</f>
        <v>25</v>
      </c>
      <c r="I352" s="55" t="s">
        <v>267</v>
      </c>
      <c r="J352" s="56">
        <v>13090</v>
      </c>
      <c r="K352" s="57">
        <v>4</v>
      </c>
    </row>
    <row r="353" spans="1:11" x14ac:dyDescent="0.25">
      <c r="A353" s="42" t="s">
        <v>638</v>
      </c>
      <c r="B353" s="49" t="s">
        <v>285</v>
      </c>
      <c r="C353" s="42" t="s">
        <v>626</v>
      </c>
      <c r="D353" s="145">
        <v>210874862</v>
      </c>
      <c r="E353" s="42" t="s">
        <v>256</v>
      </c>
      <c r="F353" s="84">
        <v>34034</v>
      </c>
      <c r="G353" s="108" t="str">
        <f>CHOOSE(MONTH(F353),"Jan","Feb","Mar","Apr","May","Jun","Jul","Aug","Sep","Oct","Nov","Dec")</f>
        <v>Mar</v>
      </c>
      <c r="H353" s="54">
        <f ca="1">DATEDIF(F353,TODAY(),"Y")</f>
        <v>23</v>
      </c>
      <c r="I353" s="55" t="s">
        <v>267</v>
      </c>
      <c r="J353" s="56">
        <v>45180</v>
      </c>
      <c r="K353" s="57">
        <v>5</v>
      </c>
    </row>
    <row r="354" spans="1:11" x14ac:dyDescent="0.25">
      <c r="A354" s="42" t="s">
        <v>652</v>
      </c>
      <c r="B354" s="49" t="s">
        <v>266</v>
      </c>
      <c r="C354" s="42" t="s">
        <v>626</v>
      </c>
      <c r="D354" s="145">
        <v>674184236</v>
      </c>
      <c r="E354" s="42" t="s">
        <v>247</v>
      </c>
      <c r="F354" s="84">
        <v>34054</v>
      </c>
      <c r="G354" s="108" t="str">
        <f>CHOOSE(MONTH(F354),"Jan","Feb","Mar","Apr","May","Jun","Jul","Aug","Sep","Oct","Nov","Dec")</f>
        <v>Mar</v>
      </c>
      <c r="H354" s="54">
        <f ca="1">DATEDIF(F354,TODAY(),"Y")</f>
        <v>23</v>
      </c>
      <c r="I354" s="55"/>
      <c r="J354" s="56">
        <v>29000</v>
      </c>
      <c r="K354" s="57">
        <v>5</v>
      </c>
    </row>
    <row r="355" spans="1:11" x14ac:dyDescent="0.25">
      <c r="A355" s="42" t="s">
        <v>671</v>
      </c>
      <c r="B355" s="49" t="s">
        <v>266</v>
      </c>
      <c r="C355" s="42" t="s">
        <v>626</v>
      </c>
      <c r="D355" s="145">
        <v>843245863</v>
      </c>
      <c r="E355" s="42" t="s">
        <v>247</v>
      </c>
      <c r="F355" s="84">
        <v>35518</v>
      </c>
      <c r="G355" s="108" t="str">
        <f>CHOOSE(MONTH(F355),"Jan","Feb","Mar","Apr","May","Jun","Jul","Aug","Sep","Oct","Nov","Dec")</f>
        <v>Mar</v>
      </c>
      <c r="H355" s="54">
        <f ca="1">DATEDIF(F355,TODAY(),"Y")</f>
        <v>19</v>
      </c>
      <c r="I355" s="55"/>
      <c r="J355" s="56">
        <v>53870</v>
      </c>
      <c r="K355" s="57">
        <v>2</v>
      </c>
    </row>
    <row r="356" spans="1:11" x14ac:dyDescent="0.25">
      <c r="A356" s="42" t="s">
        <v>660</v>
      </c>
      <c r="B356" s="49" t="s">
        <v>245</v>
      </c>
      <c r="C356" s="42" t="s">
        <v>626</v>
      </c>
      <c r="D356" s="145">
        <v>895361839</v>
      </c>
      <c r="E356" s="42" t="s">
        <v>256</v>
      </c>
      <c r="F356" s="84">
        <v>35856</v>
      </c>
      <c r="G356" s="108" t="str">
        <f>CHOOSE(MONTH(F356),"Jan","Feb","Mar","Apr","May","Jun","Jul","Aug","Sep","Oct","Nov","Dec")</f>
        <v>Mar</v>
      </c>
      <c r="H356" s="54">
        <f ca="1">DATEDIF(F356,TODAY(),"Y")</f>
        <v>18</v>
      </c>
      <c r="I356" s="55" t="s">
        <v>276</v>
      </c>
      <c r="J356" s="56">
        <v>86830</v>
      </c>
      <c r="K356" s="57">
        <v>3</v>
      </c>
    </row>
    <row r="357" spans="1:11" x14ac:dyDescent="0.25">
      <c r="A357" s="42" t="s">
        <v>635</v>
      </c>
      <c r="B357" s="49" t="s">
        <v>271</v>
      </c>
      <c r="C357" s="42" t="s">
        <v>626</v>
      </c>
      <c r="D357" s="145">
        <v>970855038</v>
      </c>
      <c r="E357" s="42" t="s">
        <v>256</v>
      </c>
      <c r="F357" s="84">
        <v>35857</v>
      </c>
      <c r="G357" s="108" t="str">
        <f>CHOOSE(MONTH(F357),"Jan","Feb","Mar","Apr","May","Jun","Jul","Aug","Sep","Oct","Nov","Dec")</f>
        <v>Mar</v>
      </c>
      <c r="H357" s="54">
        <f ca="1">DATEDIF(F357,TODAY(),"Y")</f>
        <v>18</v>
      </c>
      <c r="I357" s="55" t="s">
        <v>283</v>
      </c>
      <c r="J357" s="56">
        <v>82110</v>
      </c>
      <c r="K357" s="57">
        <v>3</v>
      </c>
    </row>
    <row r="358" spans="1:11" x14ac:dyDescent="0.25">
      <c r="A358" s="42" t="s">
        <v>645</v>
      </c>
      <c r="B358" s="49" t="s">
        <v>245</v>
      </c>
      <c r="C358" s="42" t="s">
        <v>626</v>
      </c>
      <c r="D358" s="145">
        <v>935313931</v>
      </c>
      <c r="E358" s="42" t="s">
        <v>256</v>
      </c>
      <c r="F358" s="84">
        <v>39157</v>
      </c>
      <c r="G358" s="108" t="str">
        <f>CHOOSE(MONTH(F358),"Jan","Feb","Mar","Apr","May","Jun","Jul","Aug","Sep","Oct","Nov","Dec")</f>
        <v>Mar</v>
      </c>
      <c r="H358" s="54">
        <f ca="1">DATEDIF(F358,TODAY(),"Y")</f>
        <v>9</v>
      </c>
      <c r="I358" s="55" t="s">
        <v>283</v>
      </c>
      <c r="J358" s="56">
        <v>47610</v>
      </c>
      <c r="K358" s="57">
        <v>4</v>
      </c>
    </row>
    <row r="359" spans="1:11" x14ac:dyDescent="0.25">
      <c r="A359" s="42" t="s">
        <v>642</v>
      </c>
      <c r="B359" s="49" t="s">
        <v>285</v>
      </c>
      <c r="C359" s="42" t="s">
        <v>626</v>
      </c>
      <c r="D359" s="145">
        <v>605738977</v>
      </c>
      <c r="E359" s="42" t="s">
        <v>256</v>
      </c>
      <c r="F359" s="84">
        <v>33695</v>
      </c>
      <c r="G359" s="108" t="str">
        <f>CHOOSE(MONTH(F359),"Jan","Feb","Mar","Apr","May","Jun","Jul","Aug","Sep","Oct","Nov","Dec")</f>
        <v>Apr</v>
      </c>
      <c r="H359" s="54">
        <f ca="1">DATEDIF(F359,TODAY(),"Y")</f>
        <v>24</v>
      </c>
      <c r="I359" s="55" t="s">
        <v>262</v>
      </c>
      <c r="J359" s="56">
        <v>60560</v>
      </c>
      <c r="K359" s="57">
        <v>4</v>
      </c>
    </row>
    <row r="360" spans="1:11" x14ac:dyDescent="0.25">
      <c r="A360" s="42" t="s">
        <v>661</v>
      </c>
      <c r="B360" s="49" t="s">
        <v>245</v>
      </c>
      <c r="C360" s="42" t="s">
        <v>626</v>
      </c>
      <c r="D360" s="145">
        <v>155922498</v>
      </c>
      <c r="E360" s="42" t="s">
        <v>256</v>
      </c>
      <c r="F360" s="84">
        <v>33702</v>
      </c>
      <c r="G360" s="108" t="str">
        <f>CHOOSE(MONTH(F360),"Jan","Feb","Mar","Apr","May","Jun","Jul","Aug","Sep","Oct","Nov","Dec")</f>
        <v>Apr</v>
      </c>
      <c r="H360" s="54">
        <f ca="1">DATEDIF(F360,TODAY(),"Y")</f>
        <v>24</v>
      </c>
      <c r="I360" s="55" t="s">
        <v>257</v>
      </c>
      <c r="J360" s="56">
        <v>37020</v>
      </c>
      <c r="K360" s="57">
        <v>2</v>
      </c>
    </row>
    <row r="361" spans="1:11" x14ac:dyDescent="0.25">
      <c r="A361" s="42" t="s">
        <v>662</v>
      </c>
      <c r="B361" s="49" t="s">
        <v>285</v>
      </c>
      <c r="C361" s="42" t="s">
        <v>626</v>
      </c>
      <c r="D361" s="145">
        <v>952364976</v>
      </c>
      <c r="E361" s="42" t="s">
        <v>256</v>
      </c>
      <c r="F361" s="84">
        <v>34067</v>
      </c>
      <c r="G361" s="108" t="str">
        <f>CHOOSE(MONTH(F361),"Jan","Feb","Mar","Apr","May","Jun","Jul","Aug","Sep","Oct","Nov","Dec")</f>
        <v>Apr</v>
      </c>
      <c r="H361" s="54">
        <f ca="1">DATEDIF(F361,TODAY(),"Y")</f>
        <v>23</v>
      </c>
      <c r="I361" s="55" t="s">
        <v>267</v>
      </c>
      <c r="J361" s="56">
        <v>86540</v>
      </c>
      <c r="K361" s="57">
        <v>4</v>
      </c>
    </row>
    <row r="362" spans="1:11" x14ac:dyDescent="0.25">
      <c r="A362" s="42" t="s">
        <v>663</v>
      </c>
      <c r="B362" s="49" t="s">
        <v>285</v>
      </c>
      <c r="C362" s="42" t="s">
        <v>626</v>
      </c>
      <c r="D362" s="145">
        <v>991088309</v>
      </c>
      <c r="E362" s="42" t="s">
        <v>256</v>
      </c>
      <c r="F362" s="84">
        <v>35547</v>
      </c>
      <c r="G362" s="108" t="str">
        <f>CHOOSE(MONTH(F362),"Jan","Feb","Mar","Apr","May","Jun","Jul","Aug","Sep","Oct","Nov","Dec")</f>
        <v>Apr</v>
      </c>
      <c r="H362" s="54">
        <f ca="1">DATEDIF(F362,TODAY(),"Y")</f>
        <v>19</v>
      </c>
      <c r="I362" s="55" t="s">
        <v>257</v>
      </c>
      <c r="J362" s="56">
        <v>81640</v>
      </c>
      <c r="K362" s="57">
        <v>4</v>
      </c>
    </row>
    <row r="363" spans="1:11" x14ac:dyDescent="0.25">
      <c r="A363" s="42" t="s">
        <v>655</v>
      </c>
      <c r="B363" s="49" t="s">
        <v>266</v>
      </c>
      <c r="C363" s="42" t="s">
        <v>626</v>
      </c>
      <c r="D363" s="145">
        <v>233241165</v>
      </c>
      <c r="E363" s="42" t="s">
        <v>256</v>
      </c>
      <c r="F363" s="84">
        <v>36297</v>
      </c>
      <c r="G363" s="108" t="str">
        <f>CHOOSE(MONTH(F363),"Jan","Feb","Mar","Apr","May","Jun","Jul","Aug","Sep","Oct","Nov","Dec")</f>
        <v>May</v>
      </c>
      <c r="H363" s="54">
        <f ca="1">DATEDIF(F363,TODAY(),"Y")</f>
        <v>17</v>
      </c>
      <c r="I363" s="55" t="s">
        <v>257</v>
      </c>
      <c r="J363" s="56">
        <v>46030</v>
      </c>
      <c r="K363" s="57">
        <v>2</v>
      </c>
    </row>
    <row r="364" spans="1:11" x14ac:dyDescent="0.25">
      <c r="A364" s="42" t="s">
        <v>634</v>
      </c>
      <c r="B364" s="49" t="s">
        <v>245</v>
      </c>
      <c r="C364" s="42" t="s">
        <v>626</v>
      </c>
      <c r="D364" s="145">
        <v>937778217</v>
      </c>
      <c r="E364" s="42" t="s">
        <v>256</v>
      </c>
      <c r="F364" s="84">
        <v>36662</v>
      </c>
      <c r="G364" s="108" t="str">
        <f>CHOOSE(MONTH(F364),"Jan","Feb","Mar","Apr","May","Jun","Jul","Aug","Sep","Oct","Nov","Dec")</f>
        <v>May</v>
      </c>
      <c r="H364" s="54">
        <f ca="1">DATEDIF(F364,TODAY(),"Y")</f>
        <v>16</v>
      </c>
      <c r="I364" s="55" t="s">
        <v>283</v>
      </c>
      <c r="J364" s="56">
        <v>52490</v>
      </c>
      <c r="K364" s="57">
        <v>4</v>
      </c>
    </row>
    <row r="365" spans="1:11" x14ac:dyDescent="0.25">
      <c r="A365" s="42" t="s">
        <v>674</v>
      </c>
      <c r="B365" s="49" t="s">
        <v>251</v>
      </c>
      <c r="C365" s="42" t="s">
        <v>626</v>
      </c>
      <c r="D365" s="145">
        <v>622315898</v>
      </c>
      <c r="E365" s="42" t="s">
        <v>247</v>
      </c>
      <c r="F365" s="84">
        <v>38496</v>
      </c>
      <c r="G365" s="108" t="str">
        <f>CHOOSE(MONTH(F365),"Jan","Feb","Mar","Apr","May","Jun","Jul","Aug","Sep","Oct","Nov","Dec")</f>
        <v>May</v>
      </c>
      <c r="H365" s="54">
        <f ca="1">DATEDIF(F365,TODAY(),"Y")</f>
        <v>11</v>
      </c>
      <c r="I365" s="55"/>
      <c r="J365" s="56">
        <v>57520</v>
      </c>
      <c r="K365" s="57">
        <v>3</v>
      </c>
    </row>
    <row r="366" spans="1:11" x14ac:dyDescent="0.25">
      <c r="A366" s="42" t="s">
        <v>641</v>
      </c>
      <c r="B366" s="49" t="s">
        <v>251</v>
      </c>
      <c r="C366" s="42" t="s">
        <v>626</v>
      </c>
      <c r="D366" s="145">
        <v>548535224</v>
      </c>
      <c r="E366" s="42" t="s">
        <v>256</v>
      </c>
      <c r="F366" s="84">
        <v>33407</v>
      </c>
      <c r="G366" s="108" t="str">
        <f>CHOOSE(MONTH(F366),"Jan","Feb","Mar","Apr","May","Jun","Jul","Aug","Sep","Oct","Nov","Dec")</f>
        <v>Jun</v>
      </c>
      <c r="H366" s="54">
        <f ca="1">DATEDIF(F366,TODAY(),"Y")</f>
        <v>25</v>
      </c>
      <c r="I366" s="55" t="s">
        <v>257</v>
      </c>
      <c r="J366" s="56">
        <v>22900</v>
      </c>
      <c r="K366" s="57">
        <v>1</v>
      </c>
    </row>
    <row r="367" spans="1:11" x14ac:dyDescent="0.25">
      <c r="A367" s="42" t="s">
        <v>631</v>
      </c>
      <c r="B367" s="49" t="s">
        <v>251</v>
      </c>
      <c r="C367" s="42" t="s">
        <v>626</v>
      </c>
      <c r="D367" s="145">
        <v>234113739</v>
      </c>
      <c r="E367" s="42" t="s">
        <v>256</v>
      </c>
      <c r="F367" s="84">
        <v>33765</v>
      </c>
      <c r="G367" s="108" t="str">
        <f>CHOOSE(MONTH(F367),"Jan","Feb","Mar","Apr","May","Jun","Jul","Aug","Sep","Oct","Nov","Dec")</f>
        <v>Jun</v>
      </c>
      <c r="H367" s="54">
        <f ca="1">DATEDIF(F367,TODAY(),"Y")</f>
        <v>24</v>
      </c>
      <c r="I367" s="55" t="s">
        <v>262</v>
      </c>
      <c r="J367" s="56">
        <v>73930</v>
      </c>
      <c r="K367" s="57">
        <v>1</v>
      </c>
    </row>
    <row r="368" spans="1:11" x14ac:dyDescent="0.25">
      <c r="A368" s="42" t="s">
        <v>637</v>
      </c>
      <c r="B368" s="49" t="s">
        <v>285</v>
      </c>
      <c r="C368" s="42" t="s">
        <v>626</v>
      </c>
      <c r="D368" s="145">
        <v>762238863</v>
      </c>
      <c r="E368" s="42" t="s">
        <v>256</v>
      </c>
      <c r="F368" s="84">
        <v>34875</v>
      </c>
      <c r="G368" s="108" t="str">
        <f>CHOOSE(MONTH(F368),"Jan","Feb","Mar","Apr","May","Jun","Jul","Aug","Sep","Oct","Nov","Dec")</f>
        <v>Jun</v>
      </c>
      <c r="H368" s="54">
        <f ca="1">DATEDIF(F368,TODAY(),"Y")</f>
        <v>21</v>
      </c>
      <c r="I368" s="55" t="s">
        <v>276</v>
      </c>
      <c r="J368" s="56">
        <v>66920</v>
      </c>
      <c r="K368" s="57">
        <v>2</v>
      </c>
    </row>
    <row r="369" spans="1:11" x14ac:dyDescent="0.25">
      <c r="A369" s="42" t="s">
        <v>670</v>
      </c>
      <c r="B369" s="49" t="s">
        <v>245</v>
      </c>
      <c r="C369" s="42" t="s">
        <v>626</v>
      </c>
      <c r="D369" s="145">
        <v>294537211</v>
      </c>
      <c r="E369" s="42" t="s">
        <v>256</v>
      </c>
      <c r="F369" s="84">
        <v>35220</v>
      </c>
      <c r="G369" s="108" t="str">
        <f>CHOOSE(MONTH(F369),"Jan","Feb","Mar","Apr","May","Jun","Jul","Aug","Sep","Oct","Nov","Dec")</f>
        <v>Jun</v>
      </c>
      <c r="H369" s="54">
        <f ca="1">DATEDIF(F369,TODAY(),"Y")</f>
        <v>20</v>
      </c>
      <c r="I369" s="55" t="s">
        <v>267</v>
      </c>
      <c r="J369" s="56">
        <v>70480</v>
      </c>
      <c r="K369" s="57">
        <v>4</v>
      </c>
    </row>
    <row r="370" spans="1:11" x14ac:dyDescent="0.25">
      <c r="A370" s="42" t="s">
        <v>658</v>
      </c>
      <c r="B370" s="49" t="s">
        <v>285</v>
      </c>
      <c r="C370" s="42" t="s">
        <v>626</v>
      </c>
      <c r="D370" s="145">
        <v>585798273</v>
      </c>
      <c r="E370" s="42" t="s">
        <v>247</v>
      </c>
      <c r="F370" s="84">
        <v>36703</v>
      </c>
      <c r="G370" s="108" t="str">
        <f>CHOOSE(MONTH(F370),"Jan","Feb","Mar","Apr","May","Jun","Jul","Aug","Sep","Oct","Nov","Dec")</f>
        <v>Jun</v>
      </c>
      <c r="H370" s="54">
        <f ca="1">DATEDIF(F370,TODAY(),"Y")</f>
        <v>16</v>
      </c>
      <c r="I370" s="55"/>
      <c r="J370" s="56">
        <v>50200</v>
      </c>
      <c r="K370" s="57">
        <v>4</v>
      </c>
    </row>
    <row r="371" spans="1:11" x14ac:dyDescent="0.25">
      <c r="A371" s="42" t="s">
        <v>636</v>
      </c>
      <c r="B371" s="49" t="s">
        <v>271</v>
      </c>
      <c r="C371" s="42" t="s">
        <v>626</v>
      </c>
      <c r="D371" s="145">
        <v>158724247</v>
      </c>
      <c r="E371" s="42" t="s">
        <v>261</v>
      </c>
      <c r="F371" s="84">
        <v>40351</v>
      </c>
      <c r="G371" s="108" t="str">
        <f>CHOOSE(MONTH(F371),"Jan","Feb","Mar","Apr","May","Jun","Jul","Aug","Sep","Oct","Nov","Dec")</f>
        <v>Jun</v>
      </c>
      <c r="H371" s="54">
        <f ca="1">DATEDIF(F371,TODAY(),"Y")</f>
        <v>6</v>
      </c>
      <c r="I371" s="55" t="s">
        <v>283</v>
      </c>
      <c r="J371" s="56">
        <v>20040</v>
      </c>
      <c r="K371" s="57">
        <v>3</v>
      </c>
    </row>
    <row r="372" spans="1:11" x14ac:dyDescent="0.25">
      <c r="A372" s="42" t="s">
        <v>666</v>
      </c>
      <c r="B372" s="49" t="s">
        <v>285</v>
      </c>
      <c r="C372" s="42" t="s">
        <v>626</v>
      </c>
      <c r="D372" s="145">
        <v>599051506</v>
      </c>
      <c r="E372" s="42" t="s">
        <v>256</v>
      </c>
      <c r="F372" s="84">
        <v>34177</v>
      </c>
      <c r="G372" s="108" t="str">
        <f>CHOOSE(MONTH(F372),"Jan","Feb","Mar","Apr","May","Jun","Jul","Aug","Sep","Oct","Nov","Dec")</f>
        <v>Jul</v>
      </c>
      <c r="H372" s="54">
        <f ca="1">DATEDIF(F372,TODAY(),"Y")</f>
        <v>23</v>
      </c>
      <c r="I372" s="55" t="s">
        <v>283</v>
      </c>
      <c r="J372" s="56">
        <v>65250</v>
      </c>
      <c r="K372" s="57">
        <v>2</v>
      </c>
    </row>
    <row r="373" spans="1:11" x14ac:dyDescent="0.25">
      <c r="A373" s="42" t="s">
        <v>646</v>
      </c>
      <c r="B373" s="49" t="s">
        <v>245</v>
      </c>
      <c r="C373" s="42" t="s">
        <v>626</v>
      </c>
      <c r="D373" s="145">
        <v>507652823</v>
      </c>
      <c r="E373" s="42" t="s">
        <v>256</v>
      </c>
      <c r="F373" s="84">
        <v>35254</v>
      </c>
      <c r="G373" s="108" t="str">
        <f>CHOOSE(MONTH(F373),"Jan","Feb","Mar","Apr","May","Jun","Jul","Aug","Sep","Oct","Nov","Dec")</f>
        <v>Jul</v>
      </c>
      <c r="H373" s="54">
        <f ca="1">DATEDIF(F373,TODAY(),"Y")</f>
        <v>20</v>
      </c>
      <c r="I373" s="55" t="s">
        <v>257</v>
      </c>
      <c r="J373" s="56">
        <v>48800</v>
      </c>
      <c r="K373" s="57">
        <v>4</v>
      </c>
    </row>
    <row r="374" spans="1:11" x14ac:dyDescent="0.25">
      <c r="A374" s="42" t="s">
        <v>667</v>
      </c>
      <c r="B374" s="49" t="s">
        <v>280</v>
      </c>
      <c r="C374" s="42" t="s">
        <v>626</v>
      </c>
      <c r="D374" s="145">
        <v>941271824</v>
      </c>
      <c r="E374" s="42" t="s">
        <v>261</v>
      </c>
      <c r="F374" s="84">
        <v>36371</v>
      </c>
      <c r="G374" s="108" t="str">
        <f>CHOOSE(MONTH(F374),"Jan","Feb","Mar","Apr","May","Jun","Jul","Aug","Sep","Oct","Nov","Dec")</f>
        <v>Jul</v>
      </c>
      <c r="H374" s="54">
        <f ca="1">DATEDIF(F374,TODAY(),"Y")</f>
        <v>17</v>
      </c>
      <c r="I374" s="55" t="s">
        <v>283</v>
      </c>
      <c r="J374" s="56">
        <v>26790</v>
      </c>
      <c r="K374" s="57">
        <v>2</v>
      </c>
    </row>
    <row r="375" spans="1:11" x14ac:dyDescent="0.25">
      <c r="A375" s="42" t="s">
        <v>656</v>
      </c>
      <c r="B375" s="49" t="s">
        <v>271</v>
      </c>
      <c r="C375" s="42" t="s">
        <v>626</v>
      </c>
      <c r="D375" s="145">
        <v>901475948</v>
      </c>
      <c r="E375" s="42" t="s">
        <v>247</v>
      </c>
      <c r="F375" s="84">
        <v>39283</v>
      </c>
      <c r="G375" s="108" t="str">
        <f>CHOOSE(MONTH(F375),"Jan","Feb","Mar","Apr","May","Jun","Jul","Aug","Sep","Oct","Nov","Dec")</f>
        <v>Jul</v>
      </c>
      <c r="H375" s="54">
        <f ca="1">DATEDIF(F375,TODAY(),"Y")</f>
        <v>9</v>
      </c>
      <c r="I375" s="55"/>
      <c r="J375" s="56">
        <v>74470</v>
      </c>
      <c r="K375" s="57">
        <v>3</v>
      </c>
    </row>
    <row r="376" spans="1:11" x14ac:dyDescent="0.25">
      <c r="A376" s="42" t="s">
        <v>639</v>
      </c>
      <c r="B376" s="49" t="s">
        <v>271</v>
      </c>
      <c r="C376" s="42" t="s">
        <v>626</v>
      </c>
      <c r="D376" s="145">
        <v>483076823</v>
      </c>
      <c r="E376" s="42" t="s">
        <v>256</v>
      </c>
      <c r="F376" s="84">
        <v>40361</v>
      </c>
      <c r="G376" s="108" t="str">
        <f>CHOOSE(MONTH(F376),"Jan","Feb","Mar","Apr","May","Jun","Jul","Aug","Sep","Oct","Nov","Dec")</f>
        <v>Jul</v>
      </c>
      <c r="H376" s="54">
        <f ca="1">DATEDIF(F376,TODAY(),"Y")</f>
        <v>6</v>
      </c>
      <c r="I376" s="55" t="s">
        <v>267</v>
      </c>
      <c r="J376" s="56">
        <v>75780</v>
      </c>
      <c r="K376" s="57">
        <v>2</v>
      </c>
    </row>
    <row r="377" spans="1:11" x14ac:dyDescent="0.25">
      <c r="A377" s="42" t="s">
        <v>628</v>
      </c>
      <c r="B377" s="49" t="s">
        <v>251</v>
      </c>
      <c r="C377" s="42" t="s">
        <v>626</v>
      </c>
      <c r="D377" s="145">
        <v>199085929</v>
      </c>
      <c r="E377" s="42" t="s">
        <v>256</v>
      </c>
      <c r="F377" s="84">
        <v>35282</v>
      </c>
      <c r="G377" s="108" t="str">
        <f>CHOOSE(MONTH(F377),"Jan","Feb","Mar","Apr","May","Jun","Jul","Aug","Sep","Oct","Nov","Dec")</f>
        <v>Aug</v>
      </c>
      <c r="H377" s="54">
        <f ca="1">DATEDIF(F377,TODAY(),"Y")</f>
        <v>20</v>
      </c>
      <c r="I377" s="55" t="s">
        <v>257</v>
      </c>
      <c r="J377" s="56">
        <v>57560</v>
      </c>
      <c r="K377" s="57">
        <v>4</v>
      </c>
    </row>
    <row r="378" spans="1:11" x14ac:dyDescent="0.25">
      <c r="A378" s="42" t="s">
        <v>650</v>
      </c>
      <c r="B378" s="49" t="s">
        <v>251</v>
      </c>
      <c r="C378" s="42" t="s">
        <v>626</v>
      </c>
      <c r="D378" s="145">
        <v>996159905</v>
      </c>
      <c r="E378" s="42" t="s">
        <v>256</v>
      </c>
      <c r="F378" s="84">
        <v>36392</v>
      </c>
      <c r="G378" s="108" t="str">
        <f>CHOOSE(MONTH(F378),"Jan","Feb","Mar","Apr","May","Jun","Jul","Aug","Sep","Oct","Nov","Dec")</f>
        <v>Aug</v>
      </c>
      <c r="H378" s="54">
        <f ca="1">DATEDIF(F378,TODAY(),"Y")</f>
        <v>17</v>
      </c>
      <c r="I378" s="55" t="s">
        <v>283</v>
      </c>
      <c r="J378" s="56">
        <v>51410</v>
      </c>
      <c r="K378" s="57">
        <v>4</v>
      </c>
    </row>
    <row r="379" spans="1:11" x14ac:dyDescent="0.25">
      <c r="A379" s="42" t="s">
        <v>632</v>
      </c>
      <c r="B379" s="49" t="s">
        <v>280</v>
      </c>
      <c r="C379" s="42" t="s">
        <v>626</v>
      </c>
      <c r="D379" s="145">
        <v>197502491</v>
      </c>
      <c r="E379" s="42" t="s">
        <v>247</v>
      </c>
      <c r="F379" s="84">
        <v>34947</v>
      </c>
      <c r="G379" s="108" t="str">
        <f>CHOOSE(MONTH(F379),"Jan","Feb","Mar","Apr","May","Jun","Jul","Aug","Sep","Oct","Nov","Dec")</f>
        <v>Sep</v>
      </c>
      <c r="H379" s="54">
        <f ca="1">DATEDIF(F379,TODAY(),"Y")</f>
        <v>21</v>
      </c>
      <c r="I379" s="55"/>
      <c r="J379" s="56">
        <v>81930</v>
      </c>
      <c r="K379" s="57">
        <v>5</v>
      </c>
    </row>
    <row r="380" spans="1:11" x14ac:dyDescent="0.25">
      <c r="A380" s="42" t="s">
        <v>669</v>
      </c>
      <c r="B380" s="49" t="s">
        <v>285</v>
      </c>
      <c r="C380" s="42" t="s">
        <v>626</v>
      </c>
      <c r="D380" s="145">
        <v>895098676</v>
      </c>
      <c r="E380" s="42" t="s">
        <v>247</v>
      </c>
      <c r="F380" s="84">
        <v>35682</v>
      </c>
      <c r="G380" s="108" t="str">
        <f>CHOOSE(MONTH(F380),"Jan","Feb","Mar","Apr","May","Jun","Jul","Aug","Sep","Oct","Nov","Dec")</f>
        <v>Sep</v>
      </c>
      <c r="H380" s="54">
        <f ca="1">DATEDIF(F380,TODAY(),"Y")</f>
        <v>19</v>
      </c>
      <c r="I380" s="55"/>
      <c r="J380" s="56">
        <v>63850</v>
      </c>
      <c r="K380" s="57">
        <v>2</v>
      </c>
    </row>
    <row r="381" spans="1:11" x14ac:dyDescent="0.25">
      <c r="A381" s="42" t="s">
        <v>649</v>
      </c>
      <c r="B381" s="49" t="s">
        <v>245</v>
      </c>
      <c r="C381" s="42" t="s">
        <v>626</v>
      </c>
      <c r="D381" s="145">
        <v>349561540</v>
      </c>
      <c r="E381" s="42" t="s">
        <v>261</v>
      </c>
      <c r="F381" s="84">
        <v>37138</v>
      </c>
      <c r="G381" s="108" t="str">
        <f>CHOOSE(MONTH(F381),"Jan","Feb","Mar","Apr","May","Jun","Jul","Aug","Sep","Oct","Nov","Dec")</f>
        <v>Sep</v>
      </c>
      <c r="H381" s="54">
        <f ca="1">DATEDIF(F381,TODAY(),"Y")</f>
        <v>15</v>
      </c>
      <c r="I381" s="55" t="s">
        <v>262</v>
      </c>
      <c r="J381" s="56">
        <v>31110</v>
      </c>
      <c r="K381" s="57">
        <v>1</v>
      </c>
    </row>
    <row r="382" spans="1:11" x14ac:dyDescent="0.25">
      <c r="A382" s="42" t="s">
        <v>673</v>
      </c>
      <c r="B382" s="49" t="s">
        <v>280</v>
      </c>
      <c r="C382" s="42" t="s">
        <v>626</v>
      </c>
      <c r="D382" s="145">
        <v>676505063</v>
      </c>
      <c r="E382" s="42" t="s">
        <v>261</v>
      </c>
      <c r="F382" s="84">
        <v>37141</v>
      </c>
      <c r="G382" s="108" t="str">
        <f>CHOOSE(MONTH(F382),"Jan","Feb","Mar","Apr","May","Jun","Jul","Aug","Sep","Oct","Nov","Dec")</f>
        <v>Sep</v>
      </c>
      <c r="H382" s="54">
        <f ca="1">DATEDIF(F382,TODAY(),"Y")</f>
        <v>15</v>
      </c>
      <c r="I382" s="55" t="s">
        <v>276</v>
      </c>
      <c r="J382" s="56">
        <v>15910</v>
      </c>
      <c r="K382" s="57">
        <v>3</v>
      </c>
    </row>
    <row r="383" spans="1:11" x14ac:dyDescent="0.25">
      <c r="A383" s="42" t="s">
        <v>648</v>
      </c>
      <c r="B383" s="49" t="s">
        <v>266</v>
      </c>
      <c r="C383" s="42" t="s">
        <v>626</v>
      </c>
      <c r="D383" s="145">
        <v>312007523</v>
      </c>
      <c r="E383" s="42" t="s">
        <v>256</v>
      </c>
      <c r="F383" s="84">
        <v>40083</v>
      </c>
      <c r="G383" s="108" t="str">
        <f>CHOOSE(MONTH(F383),"Jan","Feb","Mar","Apr","May","Jun","Jul","Aug","Sep","Oct","Nov","Dec")</f>
        <v>Sep</v>
      </c>
      <c r="H383" s="54">
        <f ca="1">DATEDIF(F383,TODAY(),"Y")</f>
        <v>7</v>
      </c>
      <c r="I383" s="55" t="s">
        <v>283</v>
      </c>
      <c r="J383" s="56">
        <v>44150</v>
      </c>
      <c r="K383" s="57">
        <v>4</v>
      </c>
    </row>
    <row r="384" spans="1:11" x14ac:dyDescent="0.25">
      <c r="A384" s="42" t="s">
        <v>640</v>
      </c>
      <c r="B384" s="49" t="s">
        <v>271</v>
      </c>
      <c r="C384" s="42" t="s">
        <v>626</v>
      </c>
      <c r="D384" s="145">
        <v>782026732</v>
      </c>
      <c r="E384" s="42" t="s">
        <v>256</v>
      </c>
      <c r="F384" s="84">
        <v>40447</v>
      </c>
      <c r="G384" s="108" t="str">
        <f>CHOOSE(MONTH(F384),"Jan","Feb","Mar","Apr","May","Jun","Jul","Aug","Sep","Oct","Nov","Dec")</f>
        <v>Sep</v>
      </c>
      <c r="H384" s="54">
        <f ca="1">DATEDIF(F384,TODAY(),"Y")</f>
        <v>6</v>
      </c>
      <c r="I384" s="55" t="s">
        <v>257</v>
      </c>
      <c r="J384" s="56">
        <v>33970</v>
      </c>
      <c r="K384" s="57">
        <v>4</v>
      </c>
    </row>
    <row r="385" spans="1:16" x14ac:dyDescent="0.25">
      <c r="A385" s="42" t="s">
        <v>675</v>
      </c>
      <c r="B385" s="49" t="s">
        <v>285</v>
      </c>
      <c r="C385" s="42" t="s">
        <v>626</v>
      </c>
      <c r="D385" s="145">
        <v>937722165</v>
      </c>
      <c r="E385" s="42" t="s">
        <v>261</v>
      </c>
      <c r="F385" s="84">
        <v>36094</v>
      </c>
      <c r="G385" s="108" t="str">
        <f>CHOOSE(MONTH(F385),"Jan","Feb","Mar","Apr","May","Jun","Jul","Aug","Sep","Oct","Nov","Dec")</f>
        <v>Oct</v>
      </c>
      <c r="H385" s="54">
        <f ca="1">DATEDIF(F385,TODAY(),"Y")</f>
        <v>18</v>
      </c>
      <c r="I385" s="55" t="s">
        <v>257</v>
      </c>
      <c r="J385" s="56">
        <v>47885</v>
      </c>
      <c r="K385" s="57">
        <v>1</v>
      </c>
    </row>
    <row r="386" spans="1:16" x14ac:dyDescent="0.25">
      <c r="A386" s="42" t="s">
        <v>633</v>
      </c>
      <c r="B386" s="49" t="s">
        <v>271</v>
      </c>
      <c r="C386" s="42" t="s">
        <v>626</v>
      </c>
      <c r="D386" s="145">
        <v>586533673</v>
      </c>
      <c r="E386" s="42" t="s">
        <v>256</v>
      </c>
      <c r="F386" s="84">
        <v>36456</v>
      </c>
      <c r="G386" s="108" t="str">
        <f>CHOOSE(MONTH(F386),"Jan","Feb","Mar","Apr","May","Jun","Jul","Aug","Sep","Oct","Nov","Dec")</f>
        <v>Oct</v>
      </c>
      <c r="H386" s="54">
        <f ca="1">DATEDIF(F386,TODAY(),"Y")</f>
        <v>17</v>
      </c>
      <c r="I386" s="55" t="s">
        <v>283</v>
      </c>
      <c r="J386" s="56">
        <v>43460</v>
      </c>
      <c r="K386" s="57">
        <v>5</v>
      </c>
    </row>
    <row r="387" spans="1:16" x14ac:dyDescent="0.25">
      <c r="A387" s="42" t="s">
        <v>630</v>
      </c>
      <c r="B387" s="49" t="s">
        <v>285</v>
      </c>
      <c r="C387" s="42" t="s">
        <v>626</v>
      </c>
      <c r="D387" s="145">
        <v>763766240</v>
      </c>
      <c r="E387" s="42" t="s">
        <v>256</v>
      </c>
      <c r="F387" s="84">
        <v>36463</v>
      </c>
      <c r="G387" s="108" t="str">
        <f>CHOOSE(MONTH(F387),"Jan","Feb","Mar","Apr","May","Jun","Jul","Aug","Sep","Oct","Nov","Dec")</f>
        <v>Oct</v>
      </c>
      <c r="H387" s="54">
        <f ca="1">DATEDIF(F387,TODAY(),"Y")</f>
        <v>17</v>
      </c>
      <c r="I387" s="55" t="s">
        <v>257</v>
      </c>
      <c r="J387" s="56">
        <v>44220</v>
      </c>
      <c r="K387" s="57">
        <v>3</v>
      </c>
    </row>
    <row r="388" spans="1:16" x14ac:dyDescent="0.25">
      <c r="A388" s="42" t="s">
        <v>676</v>
      </c>
      <c r="B388" s="49" t="s">
        <v>271</v>
      </c>
      <c r="C388" s="42" t="s">
        <v>626</v>
      </c>
      <c r="D388" s="145">
        <v>738428268</v>
      </c>
      <c r="E388" s="42" t="s">
        <v>261</v>
      </c>
      <c r="F388" s="84">
        <v>37166</v>
      </c>
      <c r="G388" s="108" t="str">
        <f>CHOOSE(MONTH(F388),"Jan","Feb","Mar","Apr","May","Jun","Jul","Aug","Sep","Oct","Nov","Dec")</f>
        <v>Oct</v>
      </c>
      <c r="H388" s="54">
        <f ca="1">DATEDIF(F388,TODAY(),"Y")</f>
        <v>15</v>
      </c>
      <c r="I388" s="55" t="s">
        <v>262</v>
      </c>
      <c r="J388" s="56">
        <v>47295</v>
      </c>
      <c r="K388" s="57">
        <v>4</v>
      </c>
    </row>
    <row r="389" spans="1:16" x14ac:dyDescent="0.25">
      <c r="A389" s="42" t="s">
        <v>625</v>
      </c>
      <c r="B389" s="49" t="s">
        <v>285</v>
      </c>
      <c r="C389" s="42" t="s">
        <v>626</v>
      </c>
      <c r="D389" s="145">
        <v>837295427</v>
      </c>
      <c r="E389" s="42" t="s">
        <v>256</v>
      </c>
      <c r="F389" s="84">
        <v>36116</v>
      </c>
      <c r="G389" s="108" t="str">
        <f>CHOOSE(MONTH(F389),"Jan","Feb","Mar","Apr","May","Jun","Jul","Aug","Sep","Oct","Nov","Dec")</f>
        <v>Nov</v>
      </c>
      <c r="H389" s="54">
        <f ca="1">DATEDIF(F389,TODAY(),"Y")</f>
        <v>17</v>
      </c>
      <c r="I389" s="55" t="s">
        <v>276</v>
      </c>
      <c r="J389" s="56">
        <v>49770</v>
      </c>
      <c r="K389" s="57">
        <v>1</v>
      </c>
    </row>
    <row r="390" spans="1:16" x14ac:dyDescent="0.25">
      <c r="A390" s="42" t="s">
        <v>647</v>
      </c>
      <c r="B390" s="49" t="s">
        <v>245</v>
      </c>
      <c r="C390" s="42" t="s">
        <v>626</v>
      </c>
      <c r="D390" s="145">
        <v>184143893</v>
      </c>
      <c r="E390" s="42" t="s">
        <v>261</v>
      </c>
      <c r="F390" s="84">
        <v>36121</v>
      </c>
      <c r="G390" s="108" t="str">
        <f>CHOOSE(MONTH(F390),"Jan","Feb","Mar","Apr","May","Jun","Jul","Aug","Sep","Oct","Nov","Dec")</f>
        <v>Nov</v>
      </c>
      <c r="H390" s="54">
        <f ca="1">DATEDIF(F390,TODAY(),"Y")</f>
        <v>17</v>
      </c>
      <c r="I390" s="55" t="s">
        <v>283</v>
      </c>
      <c r="J390" s="56">
        <v>28880</v>
      </c>
      <c r="K390" s="57">
        <v>3</v>
      </c>
    </row>
    <row r="391" spans="1:16" x14ac:dyDescent="0.25">
      <c r="A391" s="42" t="s">
        <v>659</v>
      </c>
      <c r="B391" s="49" t="s">
        <v>245</v>
      </c>
      <c r="C391" s="42" t="s">
        <v>626</v>
      </c>
      <c r="D391" s="145">
        <v>260692174</v>
      </c>
      <c r="E391" s="42" t="s">
        <v>256</v>
      </c>
      <c r="F391" s="84">
        <v>33223</v>
      </c>
      <c r="G391" s="108" t="str">
        <f>CHOOSE(MONTH(F391),"Jan","Feb","Mar","Apr","May","Jun","Jul","Aug","Sep","Oct","Nov","Dec")</f>
        <v>Dec</v>
      </c>
      <c r="H391" s="54">
        <f ca="1">DATEDIF(F391,TODAY(),"Y")</f>
        <v>25</v>
      </c>
      <c r="I391" s="55" t="s">
        <v>262</v>
      </c>
      <c r="J391" s="56">
        <v>31260</v>
      </c>
      <c r="K391" s="57">
        <v>5</v>
      </c>
    </row>
    <row r="392" spans="1:16" x14ac:dyDescent="0.25">
      <c r="A392" s="42" t="s">
        <v>668</v>
      </c>
      <c r="B392" s="49" t="s">
        <v>271</v>
      </c>
      <c r="C392" s="42" t="s">
        <v>626</v>
      </c>
      <c r="D392" s="145">
        <v>734335400</v>
      </c>
      <c r="E392" s="42" t="s">
        <v>247</v>
      </c>
      <c r="F392" s="84">
        <v>35776</v>
      </c>
      <c r="G392" s="108" t="str">
        <f>CHOOSE(MONTH(F392),"Jan","Feb","Mar","Apr","May","Jun","Jul","Aug","Sep","Oct","Nov","Dec")</f>
        <v>Dec</v>
      </c>
      <c r="H392" s="54">
        <f ca="1">DATEDIF(F392,TODAY(),"Y")</f>
        <v>18</v>
      </c>
      <c r="I392" s="55"/>
      <c r="J392" s="56">
        <v>77930</v>
      </c>
      <c r="K392" s="57">
        <v>5</v>
      </c>
    </row>
    <row r="393" spans="1:16" x14ac:dyDescent="0.25">
      <c r="A393" s="42" t="s">
        <v>690</v>
      </c>
      <c r="B393" s="49" t="s">
        <v>280</v>
      </c>
      <c r="C393" s="42" t="s">
        <v>678</v>
      </c>
      <c r="D393" s="145">
        <v>190774334</v>
      </c>
      <c r="E393" s="42" t="s">
        <v>256</v>
      </c>
      <c r="F393" s="84">
        <v>33617</v>
      </c>
      <c r="G393" s="108" t="str">
        <f>CHOOSE(MONTH(F393),"Jan","Feb","Mar","Apr","May","Jun","Jul","Aug","Sep","Oct","Nov","Dec")</f>
        <v>Jan</v>
      </c>
      <c r="H393" s="54">
        <f ca="1">DATEDIF(F393,TODAY(),"Y")</f>
        <v>24</v>
      </c>
      <c r="I393" s="55" t="s">
        <v>257</v>
      </c>
      <c r="J393" s="56">
        <v>39110</v>
      </c>
      <c r="K393" s="57">
        <v>5</v>
      </c>
      <c r="O393" s="78"/>
      <c r="P393" s="78"/>
    </row>
    <row r="394" spans="1:16" x14ac:dyDescent="0.25">
      <c r="A394" s="42" t="s">
        <v>694</v>
      </c>
      <c r="B394" s="49" t="s">
        <v>285</v>
      </c>
      <c r="C394" s="42" t="s">
        <v>678</v>
      </c>
      <c r="D394" s="145">
        <v>147187549</v>
      </c>
      <c r="E394" s="42" t="s">
        <v>247</v>
      </c>
      <c r="F394" s="84">
        <v>35447</v>
      </c>
      <c r="G394" s="108" t="str">
        <f>CHOOSE(MONTH(F394),"Jan","Feb","Mar","Apr","May","Jun","Jul","Aug","Sep","Oct","Nov","Dec")</f>
        <v>Jan</v>
      </c>
      <c r="H394" s="54">
        <f ca="1">DATEDIF(F394,TODAY(),"Y")</f>
        <v>19</v>
      </c>
      <c r="I394" s="55"/>
      <c r="J394" s="56">
        <v>54190</v>
      </c>
      <c r="K394" s="57">
        <v>4</v>
      </c>
    </row>
    <row r="395" spans="1:16" x14ac:dyDescent="0.25">
      <c r="A395" s="42" t="s">
        <v>687</v>
      </c>
      <c r="B395" s="49" t="s">
        <v>271</v>
      </c>
      <c r="C395" s="42" t="s">
        <v>678</v>
      </c>
      <c r="D395" s="145">
        <v>379565911</v>
      </c>
      <c r="E395" s="42" t="s">
        <v>256</v>
      </c>
      <c r="F395" s="84">
        <v>36175</v>
      </c>
      <c r="G395" s="108" t="str">
        <f>CHOOSE(MONTH(F395),"Jan","Feb","Mar","Apr","May","Jun","Jul","Aug","Sep","Oct","Nov","Dec")</f>
        <v>Jan</v>
      </c>
      <c r="H395" s="54">
        <f ca="1">DATEDIF(F395,TODAY(),"Y")</f>
        <v>17</v>
      </c>
      <c r="I395" s="55" t="s">
        <v>283</v>
      </c>
      <c r="J395" s="56">
        <v>23520</v>
      </c>
      <c r="K395" s="57">
        <v>2</v>
      </c>
    </row>
    <row r="396" spans="1:16" x14ac:dyDescent="0.25">
      <c r="A396" s="42" t="s">
        <v>698</v>
      </c>
      <c r="B396" s="49" t="s">
        <v>271</v>
      </c>
      <c r="C396" s="42" t="s">
        <v>678</v>
      </c>
      <c r="D396" s="145">
        <v>516952157</v>
      </c>
      <c r="E396" s="42" t="s">
        <v>256</v>
      </c>
      <c r="F396" s="84">
        <v>36898</v>
      </c>
      <c r="G396" s="108" t="str">
        <f>CHOOSE(MONTH(F396),"Jan","Feb","Mar","Apr","May","Jun","Jul","Aug","Sep","Oct","Nov","Dec")</f>
        <v>Jan</v>
      </c>
      <c r="H396" s="54">
        <f ca="1">DATEDIF(F396,TODAY(),"Y")</f>
        <v>15</v>
      </c>
      <c r="I396" s="55" t="s">
        <v>257</v>
      </c>
      <c r="J396" s="56">
        <v>71820</v>
      </c>
      <c r="K396" s="57">
        <v>2</v>
      </c>
    </row>
    <row r="397" spans="1:16" x14ac:dyDescent="0.25">
      <c r="A397" s="42" t="s">
        <v>677</v>
      </c>
      <c r="B397" s="49" t="s">
        <v>285</v>
      </c>
      <c r="C397" s="42" t="s">
        <v>678</v>
      </c>
      <c r="D397" s="145">
        <v>881953845</v>
      </c>
      <c r="E397" s="42" t="s">
        <v>256</v>
      </c>
      <c r="F397" s="84">
        <v>35121</v>
      </c>
      <c r="G397" s="108" t="str">
        <f>CHOOSE(MONTH(F397),"Jan","Feb","Mar","Apr","May","Jun","Jul","Aug","Sep","Oct","Nov","Dec")</f>
        <v>Feb</v>
      </c>
      <c r="H397" s="54">
        <f ca="1">DATEDIF(F397,TODAY(),"Y")</f>
        <v>20</v>
      </c>
      <c r="I397" s="55" t="s">
        <v>283</v>
      </c>
      <c r="J397" s="56">
        <v>22860</v>
      </c>
      <c r="K397" s="57">
        <v>5</v>
      </c>
    </row>
    <row r="398" spans="1:16" x14ac:dyDescent="0.25">
      <c r="A398" s="42" t="s">
        <v>686</v>
      </c>
      <c r="B398" s="49" t="s">
        <v>280</v>
      </c>
      <c r="C398" s="42" t="s">
        <v>678</v>
      </c>
      <c r="D398" s="145">
        <v>351873196</v>
      </c>
      <c r="E398" s="42" t="s">
        <v>256</v>
      </c>
      <c r="F398" s="84">
        <v>36567</v>
      </c>
      <c r="G398" s="108" t="str">
        <f>CHOOSE(MONTH(F398),"Jan","Feb","Mar","Apr","May","Jun","Jul","Aug","Sep","Oct","Nov","Dec")</f>
        <v>Feb</v>
      </c>
      <c r="H398" s="54">
        <f ca="1">DATEDIF(F398,TODAY(),"Y")</f>
        <v>16</v>
      </c>
      <c r="I398" s="55" t="s">
        <v>276</v>
      </c>
      <c r="J398" s="56">
        <v>45450</v>
      </c>
      <c r="K398" s="57">
        <v>5</v>
      </c>
    </row>
    <row r="399" spans="1:16" x14ac:dyDescent="0.25">
      <c r="A399" s="42" t="s">
        <v>680</v>
      </c>
      <c r="B399" s="49" t="s">
        <v>280</v>
      </c>
      <c r="C399" s="42" t="s">
        <v>678</v>
      </c>
      <c r="D399" s="145">
        <v>450868567</v>
      </c>
      <c r="E399" s="42" t="s">
        <v>261</v>
      </c>
      <c r="F399" s="84">
        <v>35150</v>
      </c>
      <c r="G399" s="108" t="str">
        <f>CHOOSE(MONTH(F399),"Jan","Feb","Mar","Apr","May","Jun","Jul","Aug","Sep","Oct","Nov","Dec")</f>
        <v>Mar</v>
      </c>
      <c r="H399" s="54">
        <f ca="1">DATEDIF(F399,TODAY(),"Y")</f>
        <v>20</v>
      </c>
      <c r="I399" s="55" t="s">
        <v>257</v>
      </c>
      <c r="J399" s="56">
        <v>49405</v>
      </c>
      <c r="K399" s="57">
        <v>4</v>
      </c>
      <c r="O399" s="78"/>
      <c r="P399" s="78"/>
    </row>
    <row r="400" spans="1:16" x14ac:dyDescent="0.25">
      <c r="A400" s="42" t="s">
        <v>692</v>
      </c>
      <c r="B400" s="49" t="s">
        <v>285</v>
      </c>
      <c r="C400" s="42" t="s">
        <v>678</v>
      </c>
      <c r="D400" s="145">
        <v>704405967</v>
      </c>
      <c r="E400" s="42" t="s">
        <v>256</v>
      </c>
      <c r="F400" s="84">
        <v>33741</v>
      </c>
      <c r="G400" s="108" t="str">
        <f>CHOOSE(MONTH(F400),"Jan","Feb","Mar","Apr","May","Jun","Jul","Aug","Sep","Oct","Nov","Dec")</f>
        <v>May</v>
      </c>
      <c r="H400" s="54">
        <f ca="1">DATEDIF(F400,TODAY(),"Y")</f>
        <v>24</v>
      </c>
      <c r="I400" s="55" t="s">
        <v>257</v>
      </c>
      <c r="J400" s="56">
        <v>48550</v>
      </c>
      <c r="K400" s="57">
        <v>5</v>
      </c>
    </row>
    <row r="401" spans="1:11" x14ac:dyDescent="0.25">
      <c r="A401" s="42" t="s">
        <v>695</v>
      </c>
      <c r="B401" s="49" t="s">
        <v>271</v>
      </c>
      <c r="C401" s="42" t="s">
        <v>678</v>
      </c>
      <c r="D401" s="145">
        <v>602454157</v>
      </c>
      <c r="E401" s="42" t="s">
        <v>261</v>
      </c>
      <c r="F401" s="84">
        <v>35961</v>
      </c>
      <c r="G401" s="108" t="str">
        <f>CHOOSE(MONTH(F401),"Jan","Feb","Mar","Apr","May","Jun","Jul","Aug","Sep","Oct","Nov","Dec")</f>
        <v>Jun</v>
      </c>
      <c r="H401" s="54">
        <f ca="1">DATEDIF(F401,TODAY(),"Y")</f>
        <v>18</v>
      </c>
      <c r="I401" s="55" t="s">
        <v>257</v>
      </c>
      <c r="J401" s="56">
        <v>20500</v>
      </c>
      <c r="K401" s="57">
        <v>3</v>
      </c>
    </row>
    <row r="402" spans="1:11" x14ac:dyDescent="0.25">
      <c r="A402" s="42" t="s">
        <v>688</v>
      </c>
      <c r="B402" s="49" t="s">
        <v>251</v>
      </c>
      <c r="C402" s="42" t="s">
        <v>678</v>
      </c>
      <c r="D402" s="145">
        <v>414238218</v>
      </c>
      <c r="E402" s="42" t="s">
        <v>247</v>
      </c>
      <c r="F402" s="84">
        <v>40333</v>
      </c>
      <c r="G402" s="108" t="str">
        <f>CHOOSE(MONTH(F402),"Jan","Feb","Mar","Apr","May","Jun","Jul","Aug","Sep","Oct","Nov","Dec")</f>
        <v>Jun</v>
      </c>
      <c r="H402" s="54">
        <f ca="1">DATEDIF(F402,TODAY(),"Y")</f>
        <v>6</v>
      </c>
      <c r="I402" s="55"/>
      <c r="J402" s="56">
        <v>74020</v>
      </c>
      <c r="K402" s="57">
        <v>2</v>
      </c>
    </row>
    <row r="403" spans="1:11" x14ac:dyDescent="0.25">
      <c r="A403" s="42" t="s">
        <v>689</v>
      </c>
      <c r="B403" s="49" t="s">
        <v>285</v>
      </c>
      <c r="C403" s="42" t="s">
        <v>678</v>
      </c>
      <c r="D403" s="145">
        <v>185843653</v>
      </c>
      <c r="E403" s="42" t="s">
        <v>247</v>
      </c>
      <c r="F403" s="84">
        <v>37803</v>
      </c>
      <c r="G403" s="108" t="str">
        <f>CHOOSE(MONTH(F403),"Jan","Feb","Mar","Apr","May","Jun","Jul","Aug","Sep","Oct","Nov","Dec")</f>
        <v>Jul</v>
      </c>
      <c r="H403" s="54">
        <f ca="1">DATEDIF(F403,TODAY(),"Y")</f>
        <v>13</v>
      </c>
      <c r="I403" s="55"/>
      <c r="J403" s="56">
        <v>78100</v>
      </c>
      <c r="K403" s="57">
        <v>3</v>
      </c>
    </row>
    <row r="404" spans="1:11" x14ac:dyDescent="0.25">
      <c r="A404" s="42" t="s">
        <v>683</v>
      </c>
      <c r="B404" s="49" t="s">
        <v>266</v>
      </c>
      <c r="C404" s="42" t="s">
        <v>678</v>
      </c>
      <c r="D404" s="145">
        <v>890487042</v>
      </c>
      <c r="E404" s="42" t="s">
        <v>252</v>
      </c>
      <c r="F404" s="84">
        <v>37827</v>
      </c>
      <c r="G404" s="108" t="str">
        <f>CHOOSE(MONTH(F404),"Jan","Feb","Mar","Apr","May","Jun","Jul","Aug","Sep","Oct","Nov","Dec")</f>
        <v>Jul</v>
      </c>
      <c r="H404" s="54">
        <f ca="1">DATEDIF(F404,TODAY(),"Y")</f>
        <v>13</v>
      </c>
      <c r="I404" s="55"/>
      <c r="J404" s="56">
        <v>11044</v>
      </c>
      <c r="K404" s="57">
        <v>2</v>
      </c>
    </row>
    <row r="405" spans="1:11" x14ac:dyDescent="0.25">
      <c r="A405" s="42" t="s">
        <v>697</v>
      </c>
      <c r="B405" s="49" t="s">
        <v>271</v>
      </c>
      <c r="C405" s="42" t="s">
        <v>678</v>
      </c>
      <c r="D405" s="145">
        <v>363638517</v>
      </c>
      <c r="E405" s="42" t="s">
        <v>247</v>
      </c>
      <c r="F405" s="84">
        <v>40372</v>
      </c>
      <c r="G405" s="108" t="str">
        <f>CHOOSE(MONTH(F405),"Jan","Feb","Mar","Apr","May","Jun","Jul","Aug","Sep","Oct","Nov","Dec")</f>
        <v>Jul</v>
      </c>
      <c r="H405" s="54">
        <f ca="1">DATEDIF(F405,TODAY(),"Y")</f>
        <v>6</v>
      </c>
      <c r="I405" s="55"/>
      <c r="J405" s="56">
        <v>75100</v>
      </c>
      <c r="K405" s="57">
        <v>4</v>
      </c>
    </row>
    <row r="406" spans="1:11" x14ac:dyDescent="0.25">
      <c r="A406" s="42" t="s">
        <v>691</v>
      </c>
      <c r="B406" s="49" t="s">
        <v>245</v>
      </c>
      <c r="C406" s="42" t="s">
        <v>678</v>
      </c>
      <c r="D406" s="145">
        <v>766919462</v>
      </c>
      <c r="E406" s="42" t="s">
        <v>247</v>
      </c>
      <c r="F406" s="84">
        <v>36047</v>
      </c>
      <c r="G406" s="108" t="str">
        <f>CHOOSE(MONTH(F406),"Jan","Feb","Mar","Apr","May","Jun","Jul","Aug","Sep","Oct","Nov","Dec")</f>
        <v>Sep</v>
      </c>
      <c r="H406" s="54">
        <f ca="1">DATEDIF(F406,TODAY(),"Y")</f>
        <v>18</v>
      </c>
      <c r="I406" s="55"/>
      <c r="J406" s="56">
        <v>72480</v>
      </c>
      <c r="K406" s="57">
        <v>2</v>
      </c>
    </row>
    <row r="407" spans="1:11" x14ac:dyDescent="0.25">
      <c r="A407" s="42" t="s">
        <v>679</v>
      </c>
      <c r="B407" s="49" t="s">
        <v>285</v>
      </c>
      <c r="C407" s="42" t="s">
        <v>678</v>
      </c>
      <c r="D407" s="145">
        <v>894465994</v>
      </c>
      <c r="E407" s="42" t="s">
        <v>256</v>
      </c>
      <c r="F407" s="84">
        <v>33904</v>
      </c>
      <c r="G407" s="108" t="str">
        <f>CHOOSE(MONTH(F407),"Jan","Feb","Mar","Apr","May","Jun","Jul","Aug","Sep","Oct","Nov","Dec")</f>
        <v>Oct</v>
      </c>
      <c r="H407" s="54">
        <f ca="1">DATEDIF(F407,TODAY(),"Y")</f>
        <v>24</v>
      </c>
      <c r="I407" s="55" t="s">
        <v>262</v>
      </c>
      <c r="J407" s="56">
        <v>87980</v>
      </c>
      <c r="K407" s="57">
        <v>1</v>
      </c>
    </row>
    <row r="408" spans="1:11" x14ac:dyDescent="0.25">
      <c r="A408" s="42" t="s">
        <v>682</v>
      </c>
      <c r="B408" s="49" t="s">
        <v>251</v>
      </c>
      <c r="C408" s="42" t="s">
        <v>678</v>
      </c>
      <c r="D408" s="145">
        <v>849767709</v>
      </c>
      <c r="E408" s="42" t="s">
        <v>247</v>
      </c>
      <c r="F408" s="84">
        <v>35724</v>
      </c>
      <c r="G408" s="108" t="str">
        <f>CHOOSE(MONTH(F408),"Jan","Feb","Mar","Apr","May","Jun","Jul","Aug","Sep","Oct","Nov","Dec")</f>
        <v>Oct</v>
      </c>
      <c r="H408" s="54">
        <f ca="1">DATEDIF(F408,TODAY(),"Y")</f>
        <v>19</v>
      </c>
      <c r="I408" s="55"/>
      <c r="J408" s="56">
        <v>86470</v>
      </c>
      <c r="K408" s="57">
        <v>4</v>
      </c>
    </row>
    <row r="409" spans="1:11" x14ac:dyDescent="0.25">
      <c r="A409" s="42" t="s">
        <v>696</v>
      </c>
      <c r="B409" s="49" t="s">
        <v>271</v>
      </c>
      <c r="C409" s="42" t="s">
        <v>678</v>
      </c>
      <c r="D409" s="145">
        <v>613593375</v>
      </c>
      <c r="E409" s="42" t="s">
        <v>252</v>
      </c>
      <c r="F409" s="84">
        <v>36084</v>
      </c>
      <c r="G409" s="108" t="str">
        <f>CHOOSE(MONTH(F409),"Jan","Feb","Mar","Apr","May","Jun","Jul","Aug","Sep","Oct","Nov","Dec")</f>
        <v>Oct</v>
      </c>
      <c r="H409" s="54">
        <f ca="1">DATEDIF(F409,TODAY(),"Y")</f>
        <v>18</v>
      </c>
      <c r="I409" s="55"/>
      <c r="J409" s="56">
        <v>21668</v>
      </c>
      <c r="K409" s="57">
        <v>4</v>
      </c>
    </row>
    <row r="410" spans="1:11" x14ac:dyDescent="0.25">
      <c r="A410" s="42" t="s">
        <v>684</v>
      </c>
      <c r="B410" s="49" t="s">
        <v>271</v>
      </c>
      <c r="C410" s="42" t="s">
        <v>678</v>
      </c>
      <c r="D410" s="145">
        <v>394150914</v>
      </c>
      <c r="E410" s="42" t="s">
        <v>252</v>
      </c>
      <c r="F410" s="84">
        <v>35381</v>
      </c>
      <c r="G410" s="108" t="str">
        <f>CHOOSE(MONTH(F410),"Jan","Feb","Mar","Apr","May","Jun","Jul","Aug","Sep","Oct","Nov","Dec")</f>
        <v>Nov</v>
      </c>
      <c r="H410" s="54">
        <f ca="1">DATEDIF(F410,TODAY(),"Y")</f>
        <v>19</v>
      </c>
      <c r="I410" s="55"/>
      <c r="J410" s="56">
        <v>35312</v>
      </c>
      <c r="K410" s="57">
        <v>3</v>
      </c>
    </row>
    <row r="411" spans="1:11" x14ac:dyDescent="0.25">
      <c r="A411" s="42" t="s">
        <v>685</v>
      </c>
      <c r="B411" s="49" t="s">
        <v>266</v>
      </c>
      <c r="C411" s="42" t="s">
        <v>678</v>
      </c>
      <c r="D411" s="145">
        <v>262263344</v>
      </c>
      <c r="E411" s="42" t="s">
        <v>256</v>
      </c>
      <c r="F411" s="84">
        <v>36466</v>
      </c>
      <c r="G411" s="108" t="str">
        <f>CHOOSE(MONTH(F411),"Jan","Feb","Mar","Apr","May","Jun","Jul","Aug","Sep","Oct","Nov","Dec")</f>
        <v>Nov</v>
      </c>
      <c r="H411" s="54">
        <f ca="1">DATEDIF(F411,TODAY(),"Y")</f>
        <v>17</v>
      </c>
      <c r="I411" s="55" t="s">
        <v>283</v>
      </c>
      <c r="J411" s="56">
        <v>68410</v>
      </c>
      <c r="K411" s="57">
        <v>5</v>
      </c>
    </row>
    <row r="412" spans="1:11" x14ac:dyDescent="0.25">
      <c r="A412" s="42" t="s">
        <v>693</v>
      </c>
      <c r="B412" s="49" t="s">
        <v>245</v>
      </c>
      <c r="C412" s="42" t="s">
        <v>678</v>
      </c>
      <c r="D412" s="145">
        <v>272827169</v>
      </c>
      <c r="E412" s="42" t="s">
        <v>247</v>
      </c>
      <c r="F412" s="84">
        <v>37236</v>
      </c>
      <c r="G412" s="108" t="str">
        <f>CHOOSE(MONTH(F412),"Jan","Feb","Mar","Apr","May","Jun","Jul","Aug","Sep","Oct","Nov","Dec")</f>
        <v>Dec</v>
      </c>
      <c r="H412" s="54">
        <f ca="1">DATEDIF(F412,TODAY(),"Y")</f>
        <v>14</v>
      </c>
      <c r="I412" s="55"/>
      <c r="J412" s="56">
        <v>29540</v>
      </c>
      <c r="K412" s="57">
        <v>3</v>
      </c>
    </row>
    <row r="413" spans="1:11" x14ac:dyDescent="0.25">
      <c r="A413" s="42" t="s">
        <v>681</v>
      </c>
      <c r="B413" s="49" t="s">
        <v>280</v>
      </c>
      <c r="C413" s="42" t="s">
        <v>678</v>
      </c>
      <c r="D413" s="145">
        <v>926116407</v>
      </c>
      <c r="E413" s="42" t="s">
        <v>256</v>
      </c>
      <c r="F413" s="84">
        <v>40533</v>
      </c>
      <c r="G413" s="108" t="str">
        <f>CHOOSE(MONTH(F413),"Jan","Feb","Mar","Apr","May","Jun","Jul","Aug","Sep","Oct","Nov","Dec")</f>
        <v>Dec</v>
      </c>
      <c r="H413" s="54">
        <f ca="1">DATEDIF(F413,TODAY(),"Y")</f>
        <v>5</v>
      </c>
      <c r="I413" s="55" t="s">
        <v>276</v>
      </c>
      <c r="J413" s="56">
        <v>62180</v>
      </c>
      <c r="K413" s="57">
        <v>2</v>
      </c>
    </row>
    <row r="414" spans="1:11" x14ac:dyDescent="0.25">
      <c r="A414" s="42" t="s">
        <v>699</v>
      </c>
      <c r="B414" s="49" t="s">
        <v>245</v>
      </c>
      <c r="C414" s="42" t="s">
        <v>700</v>
      </c>
      <c r="D414" s="145">
        <v>414520983</v>
      </c>
      <c r="E414" s="42" t="s">
        <v>247</v>
      </c>
      <c r="F414" s="84">
        <v>35451</v>
      </c>
      <c r="G414" s="108" t="str">
        <f>CHOOSE(MONTH(F414),"Jan","Feb","Mar","Apr","May","Jun","Jul","Aug","Sep","Oct","Nov","Dec")</f>
        <v>Jan</v>
      </c>
      <c r="H414" s="54">
        <f ca="1">DATEDIF(F414,TODAY(),"Y")</f>
        <v>19</v>
      </c>
      <c r="I414" s="55"/>
      <c r="J414" s="56">
        <v>25120</v>
      </c>
      <c r="K414" s="57">
        <v>2</v>
      </c>
    </row>
    <row r="415" spans="1:11" x14ac:dyDescent="0.25">
      <c r="A415" s="42" t="s">
        <v>702</v>
      </c>
      <c r="B415" s="49" t="s">
        <v>245</v>
      </c>
      <c r="C415" s="42" t="s">
        <v>700</v>
      </c>
      <c r="D415" s="145">
        <v>446962077</v>
      </c>
      <c r="E415" s="42" t="s">
        <v>247</v>
      </c>
      <c r="F415" s="84">
        <v>34408</v>
      </c>
      <c r="G415" s="108" t="str">
        <f>CHOOSE(MONTH(F415),"Jan","Feb","Mar","Apr","May","Jun","Jul","Aug","Sep","Oct","Nov","Dec")</f>
        <v>Mar</v>
      </c>
      <c r="H415" s="54">
        <f ca="1">DATEDIF(F415,TODAY(),"Y")</f>
        <v>22</v>
      </c>
      <c r="I415" s="55"/>
      <c r="J415" s="56">
        <v>71700</v>
      </c>
      <c r="K415" s="57">
        <v>2</v>
      </c>
    </row>
    <row r="416" spans="1:11" x14ac:dyDescent="0.25">
      <c r="A416" s="42" t="s">
        <v>701</v>
      </c>
      <c r="B416" s="49" t="s">
        <v>285</v>
      </c>
      <c r="C416" s="42" t="s">
        <v>700</v>
      </c>
      <c r="D416" s="145">
        <v>376554022</v>
      </c>
      <c r="E416" s="42" t="s">
        <v>256</v>
      </c>
      <c r="F416" s="84">
        <v>34814</v>
      </c>
      <c r="G416" s="108" t="str">
        <f>CHOOSE(MONTH(F416),"Jan","Feb","Mar","Apr","May","Jun","Jul","Aug","Sep","Oct","Nov","Dec")</f>
        <v>Apr</v>
      </c>
      <c r="H416" s="54">
        <f ca="1">DATEDIF(F416,TODAY(),"Y")</f>
        <v>21</v>
      </c>
      <c r="I416" s="55" t="s">
        <v>257</v>
      </c>
      <c r="J416" s="56">
        <v>63190</v>
      </c>
      <c r="K416" s="57">
        <v>1</v>
      </c>
    </row>
    <row r="417" spans="1:11" x14ac:dyDescent="0.25">
      <c r="A417" s="42" t="s">
        <v>703</v>
      </c>
      <c r="B417" s="49" t="s">
        <v>271</v>
      </c>
      <c r="C417" s="42" t="s">
        <v>700</v>
      </c>
      <c r="D417" s="145">
        <v>606239710</v>
      </c>
      <c r="E417" s="42" t="s">
        <v>247</v>
      </c>
      <c r="F417" s="84">
        <v>35567</v>
      </c>
      <c r="G417" s="108" t="str">
        <f>CHOOSE(MONTH(F417),"Jan","Feb","Mar","Apr","May","Jun","Jul","Aug","Sep","Oct","Nov","Dec")</f>
        <v>May</v>
      </c>
      <c r="H417" s="54">
        <f ca="1">DATEDIF(F417,TODAY(),"Y")</f>
        <v>19</v>
      </c>
      <c r="I417" s="55"/>
      <c r="J417" s="56">
        <v>44820</v>
      </c>
      <c r="K417" s="57">
        <v>4</v>
      </c>
    </row>
    <row r="418" spans="1:11" x14ac:dyDescent="0.25">
      <c r="A418" s="42" t="s">
        <v>715</v>
      </c>
      <c r="B418" s="49" t="s">
        <v>245</v>
      </c>
      <c r="C418" s="42" t="s">
        <v>705</v>
      </c>
      <c r="D418" s="145">
        <v>419202405</v>
      </c>
      <c r="E418" s="42" t="s">
        <v>256</v>
      </c>
      <c r="F418" s="84">
        <v>33620</v>
      </c>
      <c r="G418" s="108" t="str">
        <f>CHOOSE(MONTH(F418),"Jan","Feb","Mar","Apr","May","Jun","Jul","Aug","Sep","Oct","Nov","Dec")</f>
        <v>Jan</v>
      </c>
      <c r="H418" s="54">
        <f ca="1">DATEDIF(F418,TODAY(),"Y")</f>
        <v>24</v>
      </c>
      <c r="I418" s="55" t="s">
        <v>283</v>
      </c>
      <c r="J418" s="56">
        <v>43190</v>
      </c>
      <c r="K418" s="57">
        <v>2</v>
      </c>
    </row>
    <row r="419" spans="1:11" x14ac:dyDescent="0.25">
      <c r="A419" s="42" t="s">
        <v>707</v>
      </c>
      <c r="B419" s="49" t="s">
        <v>280</v>
      </c>
      <c r="C419" s="42" t="s">
        <v>705</v>
      </c>
      <c r="D419" s="145">
        <v>718714594</v>
      </c>
      <c r="E419" s="42" t="s">
        <v>256</v>
      </c>
      <c r="F419" s="84">
        <v>34702</v>
      </c>
      <c r="G419" s="108" t="str">
        <f>CHOOSE(MONTH(F419),"Jan","Feb","Mar","Apr","May","Jun","Jul","Aug","Sep","Oct","Nov","Dec")</f>
        <v>Jan</v>
      </c>
      <c r="H419" s="54">
        <f ca="1">DATEDIF(F419,TODAY(),"Y")</f>
        <v>21</v>
      </c>
      <c r="I419" s="55" t="s">
        <v>257</v>
      </c>
      <c r="J419" s="56">
        <v>87030</v>
      </c>
      <c r="K419" s="57">
        <v>3</v>
      </c>
    </row>
    <row r="420" spans="1:11" x14ac:dyDescent="0.25">
      <c r="A420" s="42" t="s">
        <v>737</v>
      </c>
      <c r="B420" s="49" t="s">
        <v>245</v>
      </c>
      <c r="C420" s="42" t="s">
        <v>705</v>
      </c>
      <c r="D420" s="145">
        <v>793002378</v>
      </c>
      <c r="E420" s="42" t="s">
        <v>256</v>
      </c>
      <c r="F420" s="84">
        <v>33636</v>
      </c>
      <c r="G420" s="108" t="str">
        <f>CHOOSE(MONTH(F420),"Jan","Feb","Mar","Apr","May","Jun","Jul","Aug","Sep","Oct","Nov","Dec")</f>
        <v>Feb</v>
      </c>
      <c r="H420" s="54">
        <f ca="1">DATEDIF(F420,TODAY(),"Y")</f>
        <v>24</v>
      </c>
      <c r="I420" s="55" t="s">
        <v>257</v>
      </c>
      <c r="J420" s="56">
        <v>26360</v>
      </c>
      <c r="K420" s="57">
        <v>1</v>
      </c>
    </row>
    <row r="421" spans="1:11" x14ac:dyDescent="0.25">
      <c r="A421" s="42" t="s">
        <v>743</v>
      </c>
      <c r="B421" s="49" t="s">
        <v>285</v>
      </c>
      <c r="C421" s="42" t="s">
        <v>705</v>
      </c>
      <c r="D421" s="145">
        <v>803030240</v>
      </c>
      <c r="E421" s="42" t="s">
        <v>256</v>
      </c>
      <c r="F421" s="84">
        <v>33642</v>
      </c>
      <c r="G421" s="108" t="str">
        <f>CHOOSE(MONTH(F421),"Jan","Feb","Mar","Apr","May","Jun","Jul","Aug","Sep","Oct","Nov","Dec")</f>
        <v>Feb</v>
      </c>
      <c r="H421" s="54">
        <f ca="1">DATEDIF(F421,TODAY(),"Y")</f>
        <v>24</v>
      </c>
      <c r="I421" s="55" t="s">
        <v>257</v>
      </c>
      <c r="J421" s="56">
        <v>79770</v>
      </c>
      <c r="K421" s="57">
        <v>4</v>
      </c>
    </row>
    <row r="422" spans="1:11" x14ac:dyDescent="0.25">
      <c r="A422" s="42" t="s">
        <v>722</v>
      </c>
      <c r="B422" s="49" t="s">
        <v>285</v>
      </c>
      <c r="C422" s="42" t="s">
        <v>705</v>
      </c>
      <c r="D422" s="145">
        <v>566905037</v>
      </c>
      <c r="E422" s="42" t="s">
        <v>256</v>
      </c>
      <c r="F422" s="84">
        <v>34737</v>
      </c>
      <c r="G422" s="108" t="str">
        <f>CHOOSE(MONTH(F422),"Jan","Feb","Mar","Apr","May","Jun","Jul","Aug","Sep","Oct","Nov","Dec")</f>
        <v>Feb</v>
      </c>
      <c r="H422" s="54">
        <f ca="1">DATEDIF(F422,TODAY(),"Y")</f>
        <v>21</v>
      </c>
      <c r="I422" s="55" t="s">
        <v>257</v>
      </c>
      <c r="J422" s="56">
        <v>88850</v>
      </c>
      <c r="K422" s="57">
        <v>3</v>
      </c>
    </row>
    <row r="423" spans="1:11" x14ac:dyDescent="0.25">
      <c r="A423" s="42" t="s">
        <v>728</v>
      </c>
      <c r="B423" s="49" t="s">
        <v>266</v>
      </c>
      <c r="C423" s="42" t="s">
        <v>705</v>
      </c>
      <c r="D423" s="145">
        <v>275249162</v>
      </c>
      <c r="E423" s="42" t="s">
        <v>256</v>
      </c>
      <c r="F423" s="84">
        <v>34740</v>
      </c>
      <c r="G423" s="108" t="str">
        <f>CHOOSE(MONTH(F423),"Jan","Feb","Mar","Apr","May","Jun","Jul","Aug","Sep","Oct","Nov","Dec")</f>
        <v>Feb</v>
      </c>
      <c r="H423" s="54">
        <f ca="1">DATEDIF(F423,TODAY(),"Y")</f>
        <v>21</v>
      </c>
      <c r="I423" s="55" t="s">
        <v>267</v>
      </c>
      <c r="J423" s="56">
        <v>77840</v>
      </c>
      <c r="K423" s="57">
        <v>2</v>
      </c>
    </row>
    <row r="424" spans="1:11" x14ac:dyDescent="0.25">
      <c r="A424" s="42" t="s">
        <v>740</v>
      </c>
      <c r="B424" s="49" t="s">
        <v>280</v>
      </c>
      <c r="C424" s="42" t="s">
        <v>705</v>
      </c>
      <c r="D424" s="145">
        <v>638162970</v>
      </c>
      <c r="E424" s="42" t="s">
        <v>256</v>
      </c>
      <c r="F424" s="84">
        <v>35133</v>
      </c>
      <c r="G424" s="108" t="str">
        <f>CHOOSE(MONTH(F424),"Jan","Feb","Mar","Apr","May","Jun","Jul","Aug","Sep","Oct","Nov","Dec")</f>
        <v>Mar</v>
      </c>
      <c r="H424" s="54">
        <f ca="1">DATEDIF(F424,TODAY(),"Y")</f>
        <v>20</v>
      </c>
      <c r="I424" s="55" t="s">
        <v>283</v>
      </c>
      <c r="J424" s="56">
        <v>63080</v>
      </c>
      <c r="K424" s="57">
        <v>5</v>
      </c>
    </row>
    <row r="425" spans="1:11" x14ac:dyDescent="0.25">
      <c r="A425" s="42" t="s">
        <v>708</v>
      </c>
      <c r="B425" s="49" t="s">
        <v>271</v>
      </c>
      <c r="C425" s="42" t="s">
        <v>705</v>
      </c>
      <c r="D425" s="145">
        <v>424177851</v>
      </c>
      <c r="E425" s="42" t="s">
        <v>252</v>
      </c>
      <c r="F425" s="84">
        <v>37711</v>
      </c>
      <c r="G425" s="108" t="str">
        <f>CHOOSE(MONTH(F425),"Jan","Feb","Mar","Apr","May","Jun","Jul","Aug","Sep","Oct","Nov","Dec")</f>
        <v>Mar</v>
      </c>
      <c r="H425" s="54">
        <f ca="1">DATEDIF(F425,TODAY(),"Y")</f>
        <v>13</v>
      </c>
      <c r="I425" s="55"/>
      <c r="J425" s="56">
        <v>21648</v>
      </c>
      <c r="K425" s="57">
        <v>2</v>
      </c>
    </row>
    <row r="426" spans="1:11" x14ac:dyDescent="0.25">
      <c r="A426" s="42" t="s">
        <v>717</v>
      </c>
      <c r="B426" s="49" t="s">
        <v>285</v>
      </c>
      <c r="C426" s="42" t="s">
        <v>705</v>
      </c>
      <c r="D426" s="145">
        <v>760320981</v>
      </c>
      <c r="E426" s="42" t="s">
        <v>256</v>
      </c>
      <c r="F426" s="84">
        <v>38807</v>
      </c>
      <c r="G426" s="108" t="str">
        <f>CHOOSE(MONTH(F426),"Jan","Feb","Mar","Apr","May","Jun","Jul","Aug","Sep","Oct","Nov","Dec")</f>
        <v>Mar</v>
      </c>
      <c r="H426" s="54">
        <f ca="1">DATEDIF(F426,TODAY(),"Y")</f>
        <v>10</v>
      </c>
      <c r="I426" s="55" t="s">
        <v>257</v>
      </c>
      <c r="J426" s="56">
        <v>47060</v>
      </c>
      <c r="K426" s="57">
        <v>4</v>
      </c>
    </row>
    <row r="427" spans="1:11" x14ac:dyDescent="0.25">
      <c r="A427" s="42" t="s">
        <v>719</v>
      </c>
      <c r="B427" s="49" t="s">
        <v>251</v>
      </c>
      <c r="C427" s="42" t="s">
        <v>705</v>
      </c>
      <c r="D427" s="145">
        <v>507365704</v>
      </c>
      <c r="E427" s="42" t="s">
        <v>247</v>
      </c>
      <c r="F427" s="112">
        <v>40620</v>
      </c>
      <c r="G427" s="108" t="str">
        <f>CHOOSE(MONTH(F427),"Jan","Feb","Mar","Apr","May","Jun","Jul","Aug","Sep","Oct","Nov","Dec")</f>
        <v>Mar</v>
      </c>
      <c r="H427" s="54">
        <f ca="1">DATEDIF(F427,TODAY(),"Y")</f>
        <v>5</v>
      </c>
      <c r="I427" s="55"/>
      <c r="J427" s="56">
        <v>84300</v>
      </c>
      <c r="K427" s="57">
        <v>1</v>
      </c>
    </row>
    <row r="428" spans="1:11" x14ac:dyDescent="0.25">
      <c r="A428" s="42" t="s">
        <v>718</v>
      </c>
      <c r="B428" s="49" t="s">
        <v>285</v>
      </c>
      <c r="C428" s="42" t="s">
        <v>705</v>
      </c>
      <c r="D428" s="145">
        <v>866526302</v>
      </c>
      <c r="E428" s="42" t="s">
        <v>256</v>
      </c>
      <c r="F428" s="84">
        <v>35903</v>
      </c>
      <c r="G428" s="108" t="str">
        <f>CHOOSE(MONTH(F428),"Jan","Feb","Mar","Apr","May","Jun","Jul","Aug","Sep","Oct","Nov","Dec")</f>
        <v>Apr</v>
      </c>
      <c r="H428" s="54">
        <f ca="1">DATEDIF(F428,TODAY(),"Y")</f>
        <v>18</v>
      </c>
      <c r="I428" s="55" t="s">
        <v>257</v>
      </c>
      <c r="J428" s="56">
        <v>68520</v>
      </c>
      <c r="K428" s="57">
        <v>5</v>
      </c>
    </row>
    <row r="429" spans="1:11" x14ac:dyDescent="0.25">
      <c r="A429" s="42" t="s">
        <v>735</v>
      </c>
      <c r="B429" s="49" t="s">
        <v>271</v>
      </c>
      <c r="C429" s="42" t="s">
        <v>705</v>
      </c>
      <c r="D429" s="145">
        <v>562036646</v>
      </c>
      <c r="E429" s="42" t="s">
        <v>247</v>
      </c>
      <c r="F429" s="84">
        <v>36623</v>
      </c>
      <c r="G429" s="108" t="str">
        <f>CHOOSE(MONTH(F429),"Jan","Feb","Mar","Apr","May","Jun","Jul","Aug","Sep","Oct","Nov","Dec")</f>
        <v>Apr</v>
      </c>
      <c r="H429" s="54">
        <f ca="1">DATEDIF(F429,TODAY(),"Y")</f>
        <v>16</v>
      </c>
      <c r="I429" s="55"/>
      <c r="J429" s="56">
        <v>30300</v>
      </c>
      <c r="K429" s="57">
        <v>1</v>
      </c>
    </row>
    <row r="430" spans="1:11" x14ac:dyDescent="0.25">
      <c r="A430" s="42" t="s">
        <v>742</v>
      </c>
      <c r="B430" s="49" t="s">
        <v>271</v>
      </c>
      <c r="C430" s="42" t="s">
        <v>705</v>
      </c>
      <c r="D430" s="145">
        <v>418649834</v>
      </c>
      <c r="E430" s="42" t="s">
        <v>256</v>
      </c>
      <c r="F430" s="84">
        <v>34111</v>
      </c>
      <c r="G430" s="108" t="str">
        <f>CHOOSE(MONTH(F430),"Jan","Feb","Mar","Apr","May","Jun","Jul","Aug","Sep","Oct","Nov","Dec")</f>
        <v>May</v>
      </c>
      <c r="H430" s="54">
        <f ca="1">DATEDIF(F430,TODAY(),"Y")</f>
        <v>23</v>
      </c>
      <c r="I430" s="55" t="s">
        <v>283</v>
      </c>
      <c r="J430" s="56">
        <v>73030</v>
      </c>
      <c r="K430" s="57">
        <v>5</v>
      </c>
    </row>
    <row r="431" spans="1:11" x14ac:dyDescent="0.25">
      <c r="A431" s="42" t="s">
        <v>714</v>
      </c>
      <c r="B431" s="49" t="s">
        <v>280</v>
      </c>
      <c r="C431" s="42" t="s">
        <v>705</v>
      </c>
      <c r="D431" s="145">
        <v>211988558</v>
      </c>
      <c r="E431" s="42" t="s">
        <v>247</v>
      </c>
      <c r="F431" s="84">
        <v>35921</v>
      </c>
      <c r="G431" s="108" t="str">
        <f>CHOOSE(MONTH(F431),"Jan","Feb","Mar","Apr","May","Jun","Jul","Aug","Sep","Oct","Nov","Dec")</f>
        <v>May</v>
      </c>
      <c r="H431" s="54">
        <f ca="1">DATEDIF(F431,TODAY(),"Y")</f>
        <v>18</v>
      </c>
      <c r="I431" s="55"/>
      <c r="J431" s="56">
        <v>63330</v>
      </c>
      <c r="K431" s="57">
        <v>4</v>
      </c>
    </row>
    <row r="432" spans="1:11" x14ac:dyDescent="0.25">
      <c r="A432" s="42" t="s">
        <v>716</v>
      </c>
      <c r="B432" s="49" t="s">
        <v>251</v>
      </c>
      <c r="C432" s="42" t="s">
        <v>705</v>
      </c>
      <c r="D432" s="145">
        <v>673697528</v>
      </c>
      <c r="E432" s="42" t="s">
        <v>247</v>
      </c>
      <c r="F432" s="84">
        <v>34502</v>
      </c>
      <c r="G432" s="108" t="str">
        <f>CHOOSE(MONTH(F432),"Jan","Feb","Mar","Apr","May","Jun","Jul","Aug","Sep","Oct","Nov","Dec")</f>
        <v>Jun</v>
      </c>
      <c r="H432" s="54">
        <f ca="1">DATEDIF(F432,TODAY(),"Y")</f>
        <v>22</v>
      </c>
      <c r="I432" s="55"/>
      <c r="J432" s="56">
        <v>66710</v>
      </c>
      <c r="K432" s="57">
        <v>2</v>
      </c>
    </row>
    <row r="433" spans="1:11" x14ac:dyDescent="0.25">
      <c r="A433" s="42" t="s">
        <v>739</v>
      </c>
      <c r="B433" s="49" t="s">
        <v>271</v>
      </c>
      <c r="C433" s="42" t="s">
        <v>705</v>
      </c>
      <c r="D433" s="145">
        <v>220013050</v>
      </c>
      <c r="E433" s="42" t="s">
        <v>256</v>
      </c>
      <c r="F433" s="84">
        <v>35969</v>
      </c>
      <c r="G433" s="108" t="str">
        <f>CHOOSE(MONTH(F433),"Jan","Feb","Mar","Apr","May","Jun","Jul","Aug","Sep","Oct","Nov","Dec")</f>
        <v>Jun</v>
      </c>
      <c r="H433" s="54">
        <f ca="1">DATEDIF(F433,TODAY(),"Y")</f>
        <v>18</v>
      </c>
      <c r="I433" s="55" t="s">
        <v>257</v>
      </c>
      <c r="J433" s="56">
        <v>74530</v>
      </c>
      <c r="K433" s="57">
        <v>5</v>
      </c>
    </row>
    <row r="434" spans="1:11" x14ac:dyDescent="0.25">
      <c r="A434" s="42" t="s">
        <v>712</v>
      </c>
      <c r="B434" s="49" t="s">
        <v>271</v>
      </c>
      <c r="C434" s="42" t="s">
        <v>705</v>
      </c>
      <c r="D434" s="145">
        <v>930559370</v>
      </c>
      <c r="E434" s="42" t="s">
        <v>252</v>
      </c>
      <c r="F434" s="84">
        <v>36329</v>
      </c>
      <c r="G434" s="108" t="str">
        <f>CHOOSE(MONTH(F434),"Jan","Feb","Mar","Apr","May","Jun","Jul","Aug","Sep","Oct","Nov","Dec")</f>
        <v>Jun</v>
      </c>
      <c r="H434" s="54">
        <f ca="1">DATEDIF(F434,TODAY(),"Y")</f>
        <v>17</v>
      </c>
      <c r="I434" s="55"/>
      <c r="J434" s="56">
        <v>39764</v>
      </c>
      <c r="K434" s="57">
        <v>1</v>
      </c>
    </row>
    <row r="435" spans="1:11" x14ac:dyDescent="0.25">
      <c r="A435" s="42" t="s">
        <v>731</v>
      </c>
      <c r="B435" s="49" t="s">
        <v>285</v>
      </c>
      <c r="C435" s="42" t="s">
        <v>705</v>
      </c>
      <c r="D435" s="145">
        <v>690598441</v>
      </c>
      <c r="E435" s="42" t="s">
        <v>261</v>
      </c>
      <c r="F435" s="84">
        <v>36695</v>
      </c>
      <c r="G435" s="108" t="str">
        <f>CHOOSE(MONTH(F435),"Jan","Feb","Mar","Apr","May","Jun","Jul","Aug","Sep","Oct","Nov","Dec")</f>
        <v>Jun</v>
      </c>
      <c r="H435" s="54">
        <f ca="1">DATEDIF(F435,TODAY(),"Y")</f>
        <v>16</v>
      </c>
      <c r="I435" s="55" t="s">
        <v>283</v>
      </c>
      <c r="J435" s="56">
        <v>29005</v>
      </c>
      <c r="K435" s="57">
        <v>1</v>
      </c>
    </row>
    <row r="436" spans="1:11" x14ac:dyDescent="0.25">
      <c r="A436" s="42" t="s">
        <v>738</v>
      </c>
      <c r="B436" s="49" t="s">
        <v>285</v>
      </c>
      <c r="C436" s="42" t="s">
        <v>705</v>
      </c>
      <c r="D436" s="145">
        <v>895428197</v>
      </c>
      <c r="E436" s="42" t="s">
        <v>252</v>
      </c>
      <c r="F436" s="84">
        <v>38144</v>
      </c>
      <c r="G436" s="108" t="str">
        <f>CHOOSE(MONTH(F436),"Jan","Feb","Mar","Apr","May","Jun","Jul","Aug","Sep","Oct","Nov","Dec")</f>
        <v>Jun</v>
      </c>
      <c r="H436" s="54">
        <f ca="1">DATEDIF(F436,TODAY(),"Y")</f>
        <v>12</v>
      </c>
      <c r="I436" s="55"/>
      <c r="J436" s="56">
        <v>33512</v>
      </c>
      <c r="K436" s="57">
        <v>4</v>
      </c>
    </row>
    <row r="437" spans="1:11" x14ac:dyDescent="0.25">
      <c r="A437" s="42" t="s">
        <v>746</v>
      </c>
      <c r="B437" s="49" t="s">
        <v>285</v>
      </c>
      <c r="C437" s="42" t="s">
        <v>705</v>
      </c>
      <c r="D437" s="145">
        <v>794456068</v>
      </c>
      <c r="E437" s="42" t="s">
        <v>247</v>
      </c>
      <c r="F437" s="84">
        <v>33811</v>
      </c>
      <c r="G437" s="108" t="str">
        <f>CHOOSE(MONTH(F437),"Jan","Feb","Mar","Apr","May","Jun","Jul","Aug","Sep","Oct","Nov","Dec")</f>
        <v>Jul</v>
      </c>
      <c r="H437" s="54">
        <f ca="1">DATEDIF(F437,TODAY(),"Y")</f>
        <v>24</v>
      </c>
      <c r="I437" s="55"/>
      <c r="J437" s="56">
        <v>32650</v>
      </c>
      <c r="K437" s="57">
        <v>1</v>
      </c>
    </row>
    <row r="438" spans="1:11" x14ac:dyDescent="0.25">
      <c r="A438" s="42" t="s">
        <v>730</v>
      </c>
      <c r="B438" s="49" t="s">
        <v>271</v>
      </c>
      <c r="C438" s="42" t="s">
        <v>705</v>
      </c>
      <c r="D438" s="145">
        <v>572814011</v>
      </c>
      <c r="E438" s="42" t="s">
        <v>256</v>
      </c>
      <c r="F438" s="84">
        <v>34901</v>
      </c>
      <c r="G438" s="108" t="str">
        <f>CHOOSE(MONTH(F438),"Jan","Feb","Mar","Apr","May","Jun","Jul","Aug","Sep","Oct","Nov","Dec")</f>
        <v>Jul</v>
      </c>
      <c r="H438" s="54">
        <f ca="1">DATEDIF(F438,TODAY(),"Y")</f>
        <v>21</v>
      </c>
      <c r="I438" s="55" t="s">
        <v>257</v>
      </c>
      <c r="J438" s="56">
        <v>25830</v>
      </c>
      <c r="K438" s="57">
        <v>5</v>
      </c>
    </row>
    <row r="439" spans="1:11" x14ac:dyDescent="0.25">
      <c r="A439" s="42" t="s">
        <v>723</v>
      </c>
      <c r="B439" s="49" t="s">
        <v>285</v>
      </c>
      <c r="C439" s="42" t="s">
        <v>705</v>
      </c>
      <c r="D439" s="145">
        <v>675325362</v>
      </c>
      <c r="E439" s="42" t="s">
        <v>256</v>
      </c>
      <c r="F439" s="84">
        <v>38916</v>
      </c>
      <c r="G439" s="108" t="str">
        <f>CHOOSE(MONTH(F439),"Jan","Feb","Mar","Apr","May","Jun","Jul","Aug","Sep","Oct","Nov","Dec")</f>
        <v>Jul</v>
      </c>
      <c r="H439" s="54">
        <f ca="1">DATEDIF(F439,TODAY(),"Y")</f>
        <v>10</v>
      </c>
      <c r="I439" s="55" t="s">
        <v>262</v>
      </c>
      <c r="J439" s="56">
        <v>27560</v>
      </c>
      <c r="K439" s="57">
        <v>2</v>
      </c>
    </row>
    <row r="440" spans="1:11" x14ac:dyDescent="0.25">
      <c r="A440" s="42" t="s">
        <v>729</v>
      </c>
      <c r="B440" s="49" t="s">
        <v>245</v>
      </c>
      <c r="C440" s="42" t="s">
        <v>705</v>
      </c>
      <c r="D440" s="145">
        <v>947793915</v>
      </c>
      <c r="E440" s="42" t="s">
        <v>256</v>
      </c>
      <c r="F440" s="84">
        <v>39657</v>
      </c>
      <c r="G440" s="108" t="str">
        <f>CHOOSE(MONTH(F440),"Jan","Feb","Mar","Apr","May","Jun","Jul","Aug","Sep","Oct","Nov","Dec")</f>
        <v>Jul</v>
      </c>
      <c r="H440" s="54">
        <f ca="1">DATEDIF(F440,TODAY(),"Y")</f>
        <v>8</v>
      </c>
      <c r="I440" s="55" t="s">
        <v>276</v>
      </c>
      <c r="J440" s="56">
        <v>80880</v>
      </c>
      <c r="K440" s="57">
        <v>1</v>
      </c>
    </row>
    <row r="441" spans="1:11" x14ac:dyDescent="0.25">
      <c r="A441" s="42" t="s">
        <v>710</v>
      </c>
      <c r="B441" s="49" t="s">
        <v>251</v>
      </c>
      <c r="C441" s="42" t="s">
        <v>705</v>
      </c>
      <c r="D441" s="145">
        <v>433317176</v>
      </c>
      <c r="E441" s="42" t="s">
        <v>256</v>
      </c>
      <c r="F441" s="84">
        <v>40370</v>
      </c>
      <c r="G441" s="108" t="str">
        <f>CHOOSE(MONTH(F441),"Jan","Feb","Mar","Apr","May","Jun","Jul","Aug","Sep","Oct","Nov","Dec")</f>
        <v>Jul</v>
      </c>
      <c r="H441" s="54">
        <f ca="1">DATEDIF(F441,TODAY(),"Y")</f>
        <v>6</v>
      </c>
      <c r="I441" s="55" t="s">
        <v>257</v>
      </c>
      <c r="J441" s="56">
        <v>66840</v>
      </c>
      <c r="K441" s="57">
        <v>4</v>
      </c>
    </row>
    <row r="442" spans="1:11" x14ac:dyDescent="0.25">
      <c r="A442" s="42" t="s">
        <v>725</v>
      </c>
      <c r="B442" s="49" t="s">
        <v>285</v>
      </c>
      <c r="C442" s="42" t="s">
        <v>705</v>
      </c>
      <c r="D442" s="145">
        <v>130375210</v>
      </c>
      <c r="E442" s="42" t="s">
        <v>256</v>
      </c>
      <c r="F442" s="84">
        <v>33457</v>
      </c>
      <c r="G442" s="108" t="str">
        <f>CHOOSE(MONTH(F442),"Jan","Feb","Mar","Apr","May","Jun","Jul","Aug","Sep","Oct","Nov","Dec")</f>
        <v>Aug</v>
      </c>
      <c r="H442" s="54">
        <f ca="1">DATEDIF(F442,TODAY(),"Y")</f>
        <v>25</v>
      </c>
      <c r="I442" s="55" t="s">
        <v>267</v>
      </c>
      <c r="J442" s="56">
        <v>61470</v>
      </c>
      <c r="K442" s="57">
        <v>5</v>
      </c>
    </row>
    <row r="443" spans="1:11" x14ac:dyDescent="0.25">
      <c r="A443" s="42" t="s">
        <v>709</v>
      </c>
      <c r="B443" s="49" t="s">
        <v>245</v>
      </c>
      <c r="C443" s="42" t="s">
        <v>705</v>
      </c>
      <c r="D443" s="145">
        <v>314742078</v>
      </c>
      <c r="E443" s="42" t="s">
        <v>261</v>
      </c>
      <c r="F443" s="84">
        <v>37470</v>
      </c>
      <c r="G443" s="108" t="str">
        <f>CHOOSE(MONTH(F443),"Jan","Feb","Mar","Apr","May","Jun","Jul","Aug","Sep","Oct","Nov","Dec")</f>
        <v>Aug</v>
      </c>
      <c r="H443" s="54">
        <f ca="1">DATEDIF(F443,TODAY(),"Y")</f>
        <v>14</v>
      </c>
      <c r="I443" s="55" t="s">
        <v>257</v>
      </c>
      <c r="J443" s="56">
        <v>33810</v>
      </c>
      <c r="K443" s="57">
        <v>5</v>
      </c>
    </row>
    <row r="444" spans="1:11" x14ac:dyDescent="0.25">
      <c r="A444" s="42" t="s">
        <v>711</v>
      </c>
      <c r="B444" s="49" t="s">
        <v>271</v>
      </c>
      <c r="C444" s="42" t="s">
        <v>705</v>
      </c>
      <c r="D444" s="145">
        <v>427849768</v>
      </c>
      <c r="E444" s="42" t="s">
        <v>256</v>
      </c>
      <c r="F444" s="84">
        <v>38227</v>
      </c>
      <c r="G444" s="108" t="str">
        <f>CHOOSE(MONTH(F444),"Jan","Feb","Mar","Apr","May","Jun","Jul","Aug","Sep","Oct","Nov","Dec")</f>
        <v>Aug</v>
      </c>
      <c r="H444" s="54">
        <f ca="1">DATEDIF(F444,TODAY(),"Y")</f>
        <v>12</v>
      </c>
      <c r="I444" s="55" t="s">
        <v>283</v>
      </c>
      <c r="J444" s="56">
        <v>86200</v>
      </c>
      <c r="K444" s="57">
        <v>3</v>
      </c>
    </row>
    <row r="445" spans="1:11" x14ac:dyDescent="0.25">
      <c r="A445" s="42" t="s">
        <v>721</v>
      </c>
      <c r="B445" s="49" t="s">
        <v>251</v>
      </c>
      <c r="C445" s="42" t="s">
        <v>705</v>
      </c>
      <c r="D445" s="145">
        <v>404332756</v>
      </c>
      <c r="E445" s="42" t="s">
        <v>261</v>
      </c>
      <c r="F445" s="84">
        <v>39299</v>
      </c>
      <c r="G445" s="108" t="str">
        <f>CHOOSE(MONTH(F445),"Jan","Feb","Mar","Apr","May","Jun","Jul","Aug","Sep","Oct","Nov","Dec")</f>
        <v>Aug</v>
      </c>
      <c r="H445" s="54">
        <f ca="1">DATEDIF(F445,TODAY(),"Y")</f>
        <v>9</v>
      </c>
      <c r="I445" s="55" t="s">
        <v>276</v>
      </c>
      <c r="J445" s="56">
        <v>47760</v>
      </c>
      <c r="K445" s="57">
        <v>3</v>
      </c>
    </row>
    <row r="446" spans="1:11" x14ac:dyDescent="0.25">
      <c r="A446" s="42" t="s">
        <v>732</v>
      </c>
      <c r="B446" s="49" t="s">
        <v>266</v>
      </c>
      <c r="C446" s="42" t="s">
        <v>705</v>
      </c>
      <c r="D446" s="145">
        <v>992015244</v>
      </c>
      <c r="E446" s="42" t="s">
        <v>256</v>
      </c>
      <c r="F446" s="84">
        <v>39678</v>
      </c>
      <c r="G446" s="108" t="str">
        <f>CHOOSE(MONTH(F446),"Jan","Feb","Mar","Apr","May","Jun","Jul","Aug","Sep","Oct","Nov","Dec")</f>
        <v>Aug</v>
      </c>
      <c r="H446" s="54">
        <f ca="1">DATEDIF(F446,TODAY(),"Y")</f>
        <v>8</v>
      </c>
      <c r="I446" s="55" t="s">
        <v>283</v>
      </c>
      <c r="J446" s="56">
        <v>80090</v>
      </c>
      <c r="K446" s="57">
        <v>2</v>
      </c>
    </row>
    <row r="447" spans="1:11" x14ac:dyDescent="0.25">
      <c r="A447" s="42" t="s">
        <v>706</v>
      </c>
      <c r="B447" s="49" t="s">
        <v>266</v>
      </c>
      <c r="C447" s="42" t="s">
        <v>705</v>
      </c>
      <c r="D447" s="145">
        <v>935468652</v>
      </c>
      <c r="E447" s="42" t="s">
        <v>261</v>
      </c>
      <c r="F447" s="106">
        <v>40393</v>
      </c>
      <c r="G447" s="108" t="str">
        <f>CHOOSE(MONTH(F447),"Jan","Feb","Mar","Apr","May","Jun","Jul","Aug","Sep","Oct","Nov","Dec")</f>
        <v>Aug</v>
      </c>
      <c r="H447" s="54">
        <f ca="1">DATEDIF(F447,TODAY(),"Y")</f>
        <v>6</v>
      </c>
      <c r="I447" s="55" t="s">
        <v>257</v>
      </c>
      <c r="J447" s="56">
        <v>16925</v>
      </c>
      <c r="K447" s="57">
        <v>1</v>
      </c>
    </row>
    <row r="448" spans="1:11" x14ac:dyDescent="0.25">
      <c r="A448" s="42" t="s">
        <v>741</v>
      </c>
      <c r="B448" s="49" t="s">
        <v>245</v>
      </c>
      <c r="C448" s="42" t="s">
        <v>705</v>
      </c>
      <c r="D448" s="145">
        <v>558455337</v>
      </c>
      <c r="E448" s="42" t="s">
        <v>252</v>
      </c>
      <c r="F448" s="112">
        <v>40403</v>
      </c>
      <c r="G448" s="108" t="str">
        <f>CHOOSE(MONTH(F448),"Jan","Feb","Mar","Apr","May","Jun","Jul","Aug","Sep","Oct","Nov","Dec")</f>
        <v>Aug</v>
      </c>
      <c r="H448" s="54">
        <f ca="1">DATEDIF(F448,TODAY(),"Y")</f>
        <v>6</v>
      </c>
      <c r="I448" s="55"/>
      <c r="J448" s="56">
        <v>15056</v>
      </c>
      <c r="K448" s="57">
        <v>5</v>
      </c>
    </row>
    <row r="449" spans="1:11" x14ac:dyDescent="0.25">
      <c r="A449" s="42" t="s">
        <v>704</v>
      </c>
      <c r="B449" s="49" t="s">
        <v>271</v>
      </c>
      <c r="C449" s="42" t="s">
        <v>705</v>
      </c>
      <c r="D449" s="145">
        <v>585929857</v>
      </c>
      <c r="E449" s="42" t="s">
        <v>261</v>
      </c>
      <c r="F449" s="84">
        <v>33502</v>
      </c>
      <c r="G449" s="108" t="str">
        <f>CHOOSE(MONTH(F449),"Jan","Feb","Mar","Apr","May","Jun","Jul","Aug","Sep","Oct","Nov","Dec")</f>
        <v>Sep</v>
      </c>
      <c r="H449" s="54">
        <f ca="1">DATEDIF(F449,TODAY(),"Y")</f>
        <v>25</v>
      </c>
      <c r="I449" s="55" t="s">
        <v>262</v>
      </c>
      <c r="J449" s="56">
        <v>35045</v>
      </c>
      <c r="K449" s="57">
        <v>4</v>
      </c>
    </row>
    <row r="450" spans="1:11" x14ac:dyDescent="0.25">
      <c r="A450" s="42" t="s">
        <v>733</v>
      </c>
      <c r="B450" s="49" t="s">
        <v>285</v>
      </c>
      <c r="C450" s="42" t="s">
        <v>705</v>
      </c>
      <c r="D450" s="145">
        <v>342090270</v>
      </c>
      <c r="E450" s="42" t="s">
        <v>256</v>
      </c>
      <c r="F450" s="84">
        <v>33878</v>
      </c>
      <c r="G450" s="108" t="str">
        <f>CHOOSE(MONTH(F450),"Jan","Feb","Mar","Apr","May","Jun","Jul","Aug","Sep","Oct","Nov","Dec")</f>
        <v>Oct</v>
      </c>
      <c r="H450" s="54">
        <f ca="1">DATEDIF(F450,TODAY(),"Y")</f>
        <v>24</v>
      </c>
      <c r="I450" s="55" t="s">
        <v>276</v>
      </c>
      <c r="J450" s="56">
        <v>75370</v>
      </c>
      <c r="K450" s="57">
        <v>2</v>
      </c>
    </row>
    <row r="451" spans="1:11" x14ac:dyDescent="0.25">
      <c r="A451" s="42" t="s">
        <v>736</v>
      </c>
      <c r="B451" s="49" t="s">
        <v>271</v>
      </c>
      <c r="C451" s="42" t="s">
        <v>705</v>
      </c>
      <c r="D451" s="145">
        <v>557370159</v>
      </c>
      <c r="E451" s="42" t="s">
        <v>256</v>
      </c>
      <c r="F451" s="84">
        <v>33881</v>
      </c>
      <c r="G451" s="108" t="str">
        <f>CHOOSE(MONTH(F451),"Jan","Feb","Mar","Apr","May","Jun","Jul","Aug","Sep","Oct","Nov","Dec")</f>
        <v>Oct</v>
      </c>
      <c r="H451" s="54">
        <f ca="1">DATEDIF(F451,TODAY(),"Y")</f>
        <v>24</v>
      </c>
      <c r="I451" s="55" t="s">
        <v>276</v>
      </c>
      <c r="J451" s="56">
        <v>46910</v>
      </c>
      <c r="K451" s="57">
        <v>3</v>
      </c>
    </row>
    <row r="452" spans="1:11" x14ac:dyDescent="0.25">
      <c r="A452" s="42" t="s">
        <v>734</v>
      </c>
      <c r="B452" s="49" t="s">
        <v>251</v>
      </c>
      <c r="C452" s="42" t="s">
        <v>705</v>
      </c>
      <c r="D452" s="145">
        <v>115619257</v>
      </c>
      <c r="E452" s="42" t="s">
        <v>261</v>
      </c>
      <c r="F452" s="84">
        <v>34617</v>
      </c>
      <c r="G452" s="108" t="str">
        <f>CHOOSE(MONTH(F452),"Jan","Feb","Mar","Apr","May","Jun","Jul","Aug","Sep","Oct","Nov","Dec")</f>
        <v>Oct</v>
      </c>
      <c r="H452" s="54">
        <f ca="1">DATEDIF(F452,TODAY(),"Y")</f>
        <v>22</v>
      </c>
      <c r="I452" s="55" t="s">
        <v>257</v>
      </c>
      <c r="J452" s="56">
        <v>13435</v>
      </c>
      <c r="K452" s="57">
        <v>1</v>
      </c>
    </row>
    <row r="453" spans="1:11" x14ac:dyDescent="0.25">
      <c r="A453" s="42" t="s">
        <v>713</v>
      </c>
      <c r="B453" s="49" t="s">
        <v>245</v>
      </c>
      <c r="C453" s="42" t="s">
        <v>705</v>
      </c>
      <c r="D453" s="145">
        <v>529668828</v>
      </c>
      <c r="E453" s="42" t="s">
        <v>256</v>
      </c>
      <c r="F453" s="84">
        <v>35339</v>
      </c>
      <c r="G453" s="108" t="str">
        <f>CHOOSE(MONTH(F453),"Jan","Feb","Mar","Apr","May","Jun","Jul","Aug","Sep","Oct","Nov","Dec")</f>
        <v>Oct</v>
      </c>
      <c r="H453" s="54">
        <f ca="1">DATEDIF(F453,TODAY(),"Y")</f>
        <v>20</v>
      </c>
      <c r="I453" s="55" t="s">
        <v>283</v>
      </c>
      <c r="J453" s="56">
        <v>43410</v>
      </c>
      <c r="K453" s="57">
        <v>1</v>
      </c>
    </row>
    <row r="454" spans="1:11" x14ac:dyDescent="0.25">
      <c r="A454" s="42" t="s">
        <v>724</v>
      </c>
      <c r="B454" s="49" t="s">
        <v>271</v>
      </c>
      <c r="C454" s="42" t="s">
        <v>705</v>
      </c>
      <c r="D454" s="145">
        <v>500754969</v>
      </c>
      <c r="E454" s="42" t="s">
        <v>252</v>
      </c>
      <c r="F454" s="106">
        <v>40452</v>
      </c>
      <c r="G454" s="108" t="str">
        <f>CHOOSE(MONTH(F454),"Jan","Feb","Mar","Apr","May","Jun","Jul","Aug","Sep","Oct","Nov","Dec")</f>
        <v>Oct</v>
      </c>
      <c r="H454" s="54">
        <f ca="1">DATEDIF(F454,TODAY(),"Y")</f>
        <v>6</v>
      </c>
      <c r="I454" s="55"/>
      <c r="J454" s="56">
        <v>9180</v>
      </c>
      <c r="K454" s="57">
        <v>3</v>
      </c>
    </row>
    <row r="455" spans="1:11" x14ac:dyDescent="0.25">
      <c r="A455" s="42" t="s">
        <v>745</v>
      </c>
      <c r="B455" s="49" t="s">
        <v>251</v>
      </c>
      <c r="C455" s="42" t="s">
        <v>705</v>
      </c>
      <c r="D455" s="145">
        <v>658776479</v>
      </c>
      <c r="E455" s="42" t="s">
        <v>247</v>
      </c>
      <c r="F455" s="84">
        <v>40468</v>
      </c>
      <c r="G455" s="108" t="str">
        <f>CHOOSE(MONTH(F455),"Jan","Feb","Mar","Apr","May","Jun","Jul","Aug","Sep","Oct","Nov","Dec")</f>
        <v>Oct</v>
      </c>
      <c r="H455" s="54">
        <f ca="1">DATEDIF(F455,TODAY(),"Y")</f>
        <v>6</v>
      </c>
      <c r="I455" s="55"/>
      <c r="J455" s="56">
        <v>39440</v>
      </c>
      <c r="K455" s="57">
        <v>4</v>
      </c>
    </row>
    <row r="456" spans="1:11" x14ac:dyDescent="0.25">
      <c r="A456" s="42" t="s">
        <v>744</v>
      </c>
      <c r="B456" s="49" t="s">
        <v>285</v>
      </c>
      <c r="C456" s="42" t="s">
        <v>705</v>
      </c>
      <c r="D456" s="145">
        <v>816149820</v>
      </c>
      <c r="E456" s="42" t="s">
        <v>256</v>
      </c>
      <c r="F456" s="84">
        <v>33928</v>
      </c>
      <c r="G456" s="108" t="str">
        <f>CHOOSE(MONTH(F456),"Jan","Feb","Mar","Apr","May","Jun","Jul","Aug","Sep","Oct","Nov","Dec")</f>
        <v>Nov</v>
      </c>
      <c r="H456" s="54">
        <f ca="1">DATEDIF(F456,TODAY(),"Y")</f>
        <v>23</v>
      </c>
      <c r="I456" s="55" t="s">
        <v>262</v>
      </c>
      <c r="J456" s="56">
        <v>68010</v>
      </c>
      <c r="K456" s="57">
        <v>1</v>
      </c>
    </row>
    <row r="457" spans="1:11" x14ac:dyDescent="0.25">
      <c r="A457" s="42" t="s">
        <v>748</v>
      </c>
      <c r="B457" s="49" t="s">
        <v>285</v>
      </c>
      <c r="C457" s="42" t="s">
        <v>705</v>
      </c>
      <c r="D457" s="145">
        <v>986794519</v>
      </c>
      <c r="E457" s="42" t="s">
        <v>256</v>
      </c>
      <c r="F457" s="84">
        <v>35379</v>
      </c>
      <c r="G457" s="108" t="str">
        <f>CHOOSE(MONTH(F457),"Jan","Feb","Mar","Apr","May","Jun","Jul","Aug","Sep","Oct","Nov","Dec")</f>
        <v>Nov</v>
      </c>
      <c r="H457" s="54">
        <f ca="1">DATEDIF(F457,TODAY(),"Y")</f>
        <v>19</v>
      </c>
      <c r="I457" s="55" t="s">
        <v>276</v>
      </c>
      <c r="J457" s="56">
        <v>67230</v>
      </c>
      <c r="K457" s="57">
        <v>4</v>
      </c>
    </row>
    <row r="458" spans="1:11" x14ac:dyDescent="0.25">
      <c r="A458" s="42" t="s">
        <v>726</v>
      </c>
      <c r="B458" s="49" t="s">
        <v>285</v>
      </c>
      <c r="C458" s="42" t="s">
        <v>705</v>
      </c>
      <c r="D458" s="145">
        <v>873236934</v>
      </c>
      <c r="E458" s="42" t="s">
        <v>256</v>
      </c>
      <c r="F458" s="84">
        <v>39404</v>
      </c>
      <c r="G458" s="108" t="str">
        <f>CHOOSE(MONTH(F458),"Jan","Feb","Mar","Apr","May","Jun","Jul","Aug","Sep","Oct","Nov","Dec")</f>
        <v>Nov</v>
      </c>
      <c r="H458" s="54">
        <f ca="1">DATEDIF(F458,TODAY(),"Y")</f>
        <v>8</v>
      </c>
      <c r="I458" s="55" t="s">
        <v>267</v>
      </c>
      <c r="J458" s="56">
        <v>50990</v>
      </c>
      <c r="K458" s="57">
        <v>4</v>
      </c>
    </row>
    <row r="459" spans="1:11" x14ac:dyDescent="0.25">
      <c r="A459" s="42" t="s">
        <v>747</v>
      </c>
      <c r="B459" s="49" t="s">
        <v>271</v>
      </c>
      <c r="C459" s="42" t="s">
        <v>705</v>
      </c>
      <c r="D459" s="145">
        <v>434731137</v>
      </c>
      <c r="E459" s="42" t="s">
        <v>256</v>
      </c>
      <c r="F459" s="84">
        <v>33578</v>
      </c>
      <c r="G459" s="108" t="str">
        <f>CHOOSE(MONTH(F459),"Jan","Feb","Mar","Apr","May","Jun","Jul","Aug","Sep","Oct","Nov","Dec")</f>
        <v>Dec</v>
      </c>
      <c r="H459" s="54">
        <f ca="1">DATEDIF(F459,TODAY(),"Y")</f>
        <v>24</v>
      </c>
      <c r="I459" s="55" t="s">
        <v>257</v>
      </c>
      <c r="J459" s="56">
        <v>43580</v>
      </c>
      <c r="K459" s="57">
        <v>5</v>
      </c>
    </row>
    <row r="460" spans="1:11" x14ac:dyDescent="0.25">
      <c r="A460" s="42" t="s">
        <v>727</v>
      </c>
      <c r="B460" s="49" t="s">
        <v>271</v>
      </c>
      <c r="C460" s="42" t="s">
        <v>705</v>
      </c>
      <c r="D460" s="145">
        <v>498916811</v>
      </c>
      <c r="E460" s="42" t="s">
        <v>256</v>
      </c>
      <c r="F460" s="84">
        <v>35412</v>
      </c>
      <c r="G460" s="108" t="str">
        <f>CHOOSE(MONTH(F460),"Jan","Feb","Mar","Apr","May","Jun","Jul","Aug","Sep","Oct","Nov","Dec")</f>
        <v>Dec</v>
      </c>
      <c r="H460" s="54">
        <f ca="1">DATEDIF(F460,TODAY(),"Y")</f>
        <v>19</v>
      </c>
      <c r="I460" s="55" t="s">
        <v>262</v>
      </c>
      <c r="J460" s="56">
        <v>77950</v>
      </c>
      <c r="K460" s="57">
        <v>4</v>
      </c>
    </row>
    <row r="461" spans="1:11" x14ac:dyDescent="0.25">
      <c r="A461" s="42" t="s">
        <v>720</v>
      </c>
      <c r="B461" s="49" t="s">
        <v>280</v>
      </c>
      <c r="C461" s="42" t="s">
        <v>705</v>
      </c>
      <c r="D461" s="145">
        <v>817293557</v>
      </c>
      <c r="E461" s="42" t="s">
        <v>247</v>
      </c>
      <c r="F461" s="84">
        <v>39783</v>
      </c>
      <c r="G461" s="108" t="str">
        <f>CHOOSE(MONTH(F461),"Jan","Feb","Mar","Apr","May","Jun","Jul","Aug","Sep","Oct","Nov","Dec")</f>
        <v>Dec</v>
      </c>
      <c r="H461" s="54">
        <f ca="1">DATEDIF(F461,TODAY(),"Y")</f>
        <v>7</v>
      </c>
      <c r="I461" s="55"/>
      <c r="J461" s="56">
        <v>54000</v>
      </c>
      <c r="K461" s="57">
        <v>3</v>
      </c>
    </row>
    <row r="462" spans="1:11" x14ac:dyDescent="0.25">
      <c r="A462" s="42" t="s">
        <v>751</v>
      </c>
      <c r="B462" s="49" t="s">
        <v>285</v>
      </c>
      <c r="C462" s="42" t="s">
        <v>750</v>
      </c>
      <c r="D462" s="145">
        <v>198920395</v>
      </c>
      <c r="E462" s="42" t="s">
        <v>256</v>
      </c>
      <c r="F462" s="84">
        <v>33246</v>
      </c>
      <c r="G462" s="108" t="str">
        <f>CHOOSE(MONTH(F462),"Jan","Feb","Mar","Apr","May","Jun","Jul","Aug","Sep","Oct","Nov","Dec")</f>
        <v>Jan</v>
      </c>
      <c r="H462" s="54">
        <f ca="1">DATEDIF(F462,TODAY(),"Y")</f>
        <v>25</v>
      </c>
      <c r="I462" s="55" t="s">
        <v>257</v>
      </c>
      <c r="J462" s="56">
        <v>71730</v>
      </c>
      <c r="K462" s="57">
        <v>1</v>
      </c>
    </row>
    <row r="463" spans="1:11" x14ac:dyDescent="0.25">
      <c r="A463" s="42" t="s">
        <v>757</v>
      </c>
      <c r="B463" s="49" t="s">
        <v>285</v>
      </c>
      <c r="C463" s="42" t="s">
        <v>750</v>
      </c>
      <c r="D463" s="145">
        <v>750544646</v>
      </c>
      <c r="E463" s="42" t="s">
        <v>256</v>
      </c>
      <c r="F463" s="84">
        <v>33280</v>
      </c>
      <c r="G463" s="108" t="str">
        <f>CHOOSE(MONTH(F463),"Jan","Feb","Mar","Apr","May","Jun","Jul","Aug","Sep","Oct","Nov","Dec")</f>
        <v>Feb</v>
      </c>
      <c r="H463" s="54">
        <f ca="1">DATEDIF(F463,TODAY(),"Y")</f>
        <v>25</v>
      </c>
      <c r="I463" s="55" t="s">
        <v>257</v>
      </c>
      <c r="J463" s="56">
        <v>87950</v>
      </c>
      <c r="K463" s="57">
        <v>4</v>
      </c>
    </row>
    <row r="464" spans="1:11" x14ac:dyDescent="0.25">
      <c r="A464" s="42" t="s">
        <v>765</v>
      </c>
      <c r="B464" s="49" t="s">
        <v>251</v>
      </c>
      <c r="C464" s="42" t="s">
        <v>750</v>
      </c>
      <c r="D464" s="145">
        <v>519460681</v>
      </c>
      <c r="E464" s="42" t="s">
        <v>247</v>
      </c>
      <c r="F464" s="84">
        <v>33286</v>
      </c>
      <c r="G464" s="108" t="str">
        <f>CHOOSE(MONTH(F464),"Jan","Feb","Mar","Apr","May","Jun","Jul","Aug","Sep","Oct","Nov","Dec")</f>
        <v>Feb</v>
      </c>
      <c r="H464" s="54">
        <f ca="1">DATEDIF(F464,TODAY(),"Y")</f>
        <v>25</v>
      </c>
      <c r="I464" s="55"/>
      <c r="J464" s="56">
        <v>49070</v>
      </c>
      <c r="K464" s="57">
        <v>3</v>
      </c>
    </row>
    <row r="465" spans="1:11" x14ac:dyDescent="0.25">
      <c r="A465" s="42" t="s">
        <v>759</v>
      </c>
      <c r="B465" s="49" t="s">
        <v>271</v>
      </c>
      <c r="C465" s="42" t="s">
        <v>750</v>
      </c>
      <c r="D465" s="145">
        <v>463718381</v>
      </c>
      <c r="E465" s="42" t="s">
        <v>256</v>
      </c>
      <c r="F465" s="84">
        <v>33320</v>
      </c>
      <c r="G465" s="108" t="str">
        <f>CHOOSE(MONTH(F465),"Jan","Feb","Mar","Apr","May","Jun","Jul","Aug","Sep","Oct","Nov","Dec")</f>
        <v>Mar</v>
      </c>
      <c r="H465" s="54">
        <f ca="1">DATEDIF(F465,TODAY(),"Y")</f>
        <v>25</v>
      </c>
      <c r="I465" s="55" t="s">
        <v>276</v>
      </c>
      <c r="J465" s="56">
        <v>35320</v>
      </c>
      <c r="K465" s="57">
        <v>3</v>
      </c>
    </row>
    <row r="466" spans="1:11" x14ac:dyDescent="0.25">
      <c r="A466" s="42" t="s">
        <v>761</v>
      </c>
      <c r="B466" s="49" t="s">
        <v>285</v>
      </c>
      <c r="C466" s="42" t="s">
        <v>750</v>
      </c>
      <c r="D466" s="145">
        <v>756956523</v>
      </c>
      <c r="E466" s="42" t="s">
        <v>261</v>
      </c>
      <c r="F466" s="84">
        <v>33349</v>
      </c>
      <c r="G466" s="108" t="str">
        <f>CHOOSE(MONTH(F466),"Jan","Feb","Mar","Apr","May","Jun","Jul","Aug","Sep","Oct","Nov","Dec")</f>
        <v>Apr</v>
      </c>
      <c r="H466" s="54">
        <f ca="1">DATEDIF(F466,TODAY(),"Y")</f>
        <v>25</v>
      </c>
      <c r="I466" s="55" t="s">
        <v>276</v>
      </c>
      <c r="J466" s="56">
        <v>16015</v>
      </c>
      <c r="K466" s="57">
        <v>3</v>
      </c>
    </row>
    <row r="467" spans="1:11" x14ac:dyDescent="0.25">
      <c r="A467" s="42" t="s">
        <v>752</v>
      </c>
      <c r="B467" s="49" t="s">
        <v>271</v>
      </c>
      <c r="C467" s="42" t="s">
        <v>750</v>
      </c>
      <c r="D467" s="145">
        <v>195998584</v>
      </c>
      <c r="E467" s="42" t="s">
        <v>256</v>
      </c>
      <c r="F467" s="84">
        <v>33440</v>
      </c>
      <c r="G467" s="108" t="str">
        <f>CHOOSE(MONTH(F467),"Jan","Feb","Mar","Apr","May","Jun","Jul","Aug","Sep","Oct","Nov","Dec")</f>
        <v>Jul</v>
      </c>
      <c r="H467" s="54">
        <f ca="1">DATEDIF(F467,TODAY(),"Y")</f>
        <v>25</v>
      </c>
      <c r="I467" s="55" t="s">
        <v>257</v>
      </c>
      <c r="J467" s="56">
        <v>69400</v>
      </c>
      <c r="K467" s="57">
        <v>5</v>
      </c>
    </row>
    <row r="468" spans="1:11" x14ac:dyDescent="0.25">
      <c r="A468" s="42" t="s">
        <v>754</v>
      </c>
      <c r="B468" s="49" t="s">
        <v>285</v>
      </c>
      <c r="C468" s="42" t="s">
        <v>750</v>
      </c>
      <c r="D468" s="145">
        <v>903331932</v>
      </c>
      <c r="E468" s="42" t="s">
        <v>261</v>
      </c>
      <c r="F468" s="84">
        <v>33112</v>
      </c>
      <c r="G468" s="108" t="str">
        <f>CHOOSE(MONTH(F468),"Jan","Feb","Mar","Apr","May","Jun","Jul","Aug","Sep","Oct","Nov","Dec")</f>
        <v>Aug</v>
      </c>
      <c r="H468" s="54">
        <f ca="1">DATEDIF(F468,TODAY(),"Y")</f>
        <v>26</v>
      </c>
      <c r="I468" s="55" t="s">
        <v>267</v>
      </c>
      <c r="J468" s="56">
        <v>24815</v>
      </c>
      <c r="K468" s="57">
        <v>1</v>
      </c>
    </row>
    <row r="469" spans="1:11" x14ac:dyDescent="0.25">
      <c r="A469" s="42" t="s">
        <v>762</v>
      </c>
      <c r="B469" s="49" t="s">
        <v>271</v>
      </c>
      <c r="C469" s="42" t="s">
        <v>750</v>
      </c>
      <c r="D469" s="145">
        <v>139074946</v>
      </c>
      <c r="E469" s="42" t="s">
        <v>256</v>
      </c>
      <c r="F469" s="84">
        <v>33113</v>
      </c>
      <c r="G469" s="108" t="str">
        <f>CHOOSE(MONTH(F469),"Jan","Feb","Mar","Apr","May","Jun","Jul","Aug","Sep","Oct","Nov","Dec")</f>
        <v>Aug</v>
      </c>
      <c r="H469" s="54">
        <f ca="1">DATEDIF(F469,TODAY(),"Y")</f>
        <v>26</v>
      </c>
      <c r="I469" s="55" t="s">
        <v>257</v>
      </c>
      <c r="J469" s="56">
        <v>32600</v>
      </c>
      <c r="K469" s="57">
        <v>5</v>
      </c>
    </row>
    <row r="470" spans="1:11" x14ac:dyDescent="0.25">
      <c r="A470" s="42" t="s">
        <v>764</v>
      </c>
      <c r="B470" s="49" t="s">
        <v>271</v>
      </c>
      <c r="C470" s="42" t="s">
        <v>750</v>
      </c>
      <c r="D470" s="145">
        <v>999012010</v>
      </c>
      <c r="E470" s="42" t="s">
        <v>256</v>
      </c>
      <c r="F470" s="84">
        <v>33460</v>
      </c>
      <c r="G470" s="108" t="str">
        <f>CHOOSE(MONTH(F470),"Jan","Feb","Mar","Apr","May","Jun","Jul","Aug","Sep","Oct","Nov","Dec")</f>
        <v>Aug</v>
      </c>
      <c r="H470" s="54">
        <f ca="1">DATEDIF(F470,TODAY(),"Y")</f>
        <v>25</v>
      </c>
      <c r="I470" s="55" t="s">
        <v>283</v>
      </c>
      <c r="J470" s="56">
        <v>77720</v>
      </c>
      <c r="K470" s="57">
        <v>3</v>
      </c>
    </row>
    <row r="471" spans="1:11" x14ac:dyDescent="0.25">
      <c r="A471" s="42" t="s">
        <v>753</v>
      </c>
      <c r="B471" s="49" t="s">
        <v>285</v>
      </c>
      <c r="C471" s="42" t="s">
        <v>750</v>
      </c>
      <c r="D471" s="145">
        <v>767586272</v>
      </c>
      <c r="E471" s="42" t="s">
        <v>252</v>
      </c>
      <c r="F471" s="84">
        <v>33158</v>
      </c>
      <c r="G471" s="108" t="str">
        <f>CHOOSE(MONTH(F471),"Jan","Feb","Mar","Apr","May","Jun","Jul","Aug","Sep","Oct","Nov","Dec")</f>
        <v>Oct</v>
      </c>
      <c r="H471" s="54">
        <f ca="1">DATEDIF(F471,TODAY(),"Y")</f>
        <v>26</v>
      </c>
      <c r="I471" s="55"/>
      <c r="J471" s="56">
        <v>33232</v>
      </c>
      <c r="K471" s="57">
        <v>4</v>
      </c>
    </row>
    <row r="472" spans="1:11" x14ac:dyDescent="0.25">
      <c r="A472" s="42" t="s">
        <v>763</v>
      </c>
      <c r="B472" s="49" t="s">
        <v>245</v>
      </c>
      <c r="C472" s="42" t="s">
        <v>750</v>
      </c>
      <c r="D472" s="145">
        <v>987757397</v>
      </c>
      <c r="E472" s="42" t="s">
        <v>261</v>
      </c>
      <c r="F472" s="111">
        <v>33160</v>
      </c>
      <c r="G472" s="108" t="str">
        <f>CHOOSE(MONTH(F472),"Jan","Feb","Mar","Apr","May","Jun","Jul","Aug","Sep","Oct","Nov","Dec")</f>
        <v>Oct</v>
      </c>
      <c r="H472" s="54">
        <f ca="1">DATEDIF(F472,TODAY(),"Y")</f>
        <v>26</v>
      </c>
      <c r="I472" s="55" t="s">
        <v>262</v>
      </c>
      <c r="J472" s="56">
        <v>39620</v>
      </c>
      <c r="K472" s="57">
        <v>5</v>
      </c>
    </row>
    <row r="473" spans="1:11" x14ac:dyDescent="0.25">
      <c r="A473" s="42" t="s">
        <v>749</v>
      </c>
      <c r="B473" s="49" t="s">
        <v>266</v>
      </c>
      <c r="C473" s="42" t="s">
        <v>750</v>
      </c>
      <c r="D473" s="145">
        <v>272737508</v>
      </c>
      <c r="E473" s="42" t="s">
        <v>256</v>
      </c>
      <c r="F473" s="84">
        <v>33513</v>
      </c>
      <c r="G473" s="108" t="str">
        <f>CHOOSE(MONTH(F473),"Jan","Feb","Mar","Apr","May","Jun","Jul","Aug","Sep","Oct","Nov","Dec")</f>
        <v>Oct</v>
      </c>
      <c r="H473" s="54">
        <f ca="1">DATEDIF(F473,TODAY(),"Y")</f>
        <v>25</v>
      </c>
      <c r="I473" s="55" t="s">
        <v>267</v>
      </c>
      <c r="J473" s="56">
        <v>44560</v>
      </c>
      <c r="K473" s="57">
        <v>2</v>
      </c>
    </row>
    <row r="474" spans="1:11" x14ac:dyDescent="0.25">
      <c r="A474" s="42" t="s">
        <v>756</v>
      </c>
      <c r="B474" s="49" t="s">
        <v>271</v>
      </c>
      <c r="C474" s="42" t="s">
        <v>750</v>
      </c>
      <c r="D474" s="145">
        <v>907144341</v>
      </c>
      <c r="E474" s="42" t="s">
        <v>256</v>
      </c>
      <c r="F474" s="84">
        <v>33536</v>
      </c>
      <c r="G474" s="108" t="str">
        <f>CHOOSE(MONTH(F474),"Jan","Feb","Mar","Apr","May","Jun","Jul","Aug","Sep","Oct","Nov","Dec")</f>
        <v>Oct</v>
      </c>
      <c r="H474" s="54">
        <f ca="1">DATEDIF(F474,TODAY(),"Y")</f>
        <v>25</v>
      </c>
      <c r="I474" s="55" t="s">
        <v>257</v>
      </c>
      <c r="J474" s="56">
        <v>81530</v>
      </c>
      <c r="K474" s="57">
        <v>5</v>
      </c>
    </row>
    <row r="475" spans="1:11" x14ac:dyDescent="0.25">
      <c r="A475" s="42" t="s">
        <v>760</v>
      </c>
      <c r="B475" s="49" t="s">
        <v>266</v>
      </c>
      <c r="C475" s="42" t="s">
        <v>750</v>
      </c>
      <c r="D475" s="145">
        <v>995151036</v>
      </c>
      <c r="E475" s="42" t="s">
        <v>256</v>
      </c>
      <c r="F475" s="84">
        <v>33179</v>
      </c>
      <c r="G475" s="108" t="str">
        <f>CHOOSE(MONTH(F475),"Jan","Feb","Mar","Apr","May","Jun","Jul","Aug","Sep","Oct","Nov","Dec")</f>
        <v>Nov</v>
      </c>
      <c r="H475" s="54">
        <f ca="1">DATEDIF(F475,TODAY(),"Y")</f>
        <v>26</v>
      </c>
      <c r="I475" s="55" t="s">
        <v>283</v>
      </c>
      <c r="J475" s="56">
        <v>43110</v>
      </c>
      <c r="K475" s="57">
        <v>2</v>
      </c>
    </row>
    <row r="476" spans="1:11" x14ac:dyDescent="0.25">
      <c r="A476" s="42" t="s">
        <v>755</v>
      </c>
      <c r="B476" s="49" t="s">
        <v>285</v>
      </c>
      <c r="C476" s="42" t="s">
        <v>750</v>
      </c>
      <c r="D476" s="145">
        <v>247819217</v>
      </c>
      <c r="E476" s="42" t="s">
        <v>256</v>
      </c>
      <c r="F476" s="84">
        <v>33186</v>
      </c>
      <c r="G476" s="108" t="str">
        <f>CHOOSE(MONTH(F476),"Jan","Feb","Mar","Apr","May","Jun","Jul","Aug","Sep","Oct","Nov","Dec")</f>
        <v>Nov</v>
      </c>
      <c r="H476" s="54">
        <f ca="1">DATEDIF(F476,TODAY(),"Y")</f>
        <v>26</v>
      </c>
      <c r="I476" s="55" t="s">
        <v>257</v>
      </c>
      <c r="J476" s="56">
        <v>40940</v>
      </c>
      <c r="K476" s="57">
        <v>3</v>
      </c>
    </row>
    <row r="477" spans="1:11" x14ac:dyDescent="0.25">
      <c r="A477" s="42" t="s">
        <v>758</v>
      </c>
      <c r="B477" s="49" t="s">
        <v>245</v>
      </c>
      <c r="C477" s="42" t="s">
        <v>750</v>
      </c>
      <c r="D477" s="145">
        <v>473777710</v>
      </c>
      <c r="E477" s="42" t="s">
        <v>256</v>
      </c>
      <c r="F477" s="84">
        <v>33588</v>
      </c>
      <c r="G477" s="108" t="str">
        <f>CHOOSE(MONTH(F477),"Jan","Feb","Mar","Apr","May","Jun","Jul","Aug","Sep","Oct","Nov","Dec")</f>
        <v>Dec</v>
      </c>
      <c r="H477" s="54">
        <f ca="1">DATEDIF(F477,TODAY(),"Y")</f>
        <v>24</v>
      </c>
      <c r="I477" s="55" t="s">
        <v>283</v>
      </c>
      <c r="J477" s="56">
        <v>44620</v>
      </c>
      <c r="K477" s="57">
        <v>5</v>
      </c>
    </row>
    <row r="478" spans="1:11" x14ac:dyDescent="0.25">
      <c r="A478" s="42" t="s">
        <v>804</v>
      </c>
      <c r="B478" s="49" t="s">
        <v>271</v>
      </c>
      <c r="C478" s="42" t="s">
        <v>767</v>
      </c>
      <c r="D478" s="145">
        <v>995552930</v>
      </c>
      <c r="E478" s="42" t="s">
        <v>247</v>
      </c>
      <c r="F478" s="84">
        <v>34726</v>
      </c>
      <c r="G478" s="108" t="str">
        <f>CHOOSE(MONTH(F478),"Jan","Feb","Mar","Apr","May","Jun","Jul","Aug","Sep","Oct","Nov","Dec")</f>
        <v>Jan</v>
      </c>
      <c r="H478" s="54">
        <f ca="1">DATEDIF(F478,TODAY(),"Y")</f>
        <v>21</v>
      </c>
      <c r="I478" s="55"/>
      <c r="J478" s="56">
        <v>33120</v>
      </c>
      <c r="K478" s="57">
        <v>2</v>
      </c>
    </row>
    <row r="479" spans="1:11" x14ac:dyDescent="0.25">
      <c r="A479" s="42" t="s">
        <v>850</v>
      </c>
      <c r="B479" s="49" t="s">
        <v>245</v>
      </c>
      <c r="C479" s="42" t="s">
        <v>767</v>
      </c>
      <c r="D479" s="145">
        <v>770043384</v>
      </c>
      <c r="E479" s="42" t="s">
        <v>256</v>
      </c>
      <c r="F479" s="84">
        <v>35094</v>
      </c>
      <c r="G479" s="108" t="str">
        <f>CHOOSE(MONTH(F479),"Jan","Feb","Mar","Apr","May","Jun","Jul","Aug","Sep","Oct","Nov","Dec")</f>
        <v>Jan</v>
      </c>
      <c r="H479" s="54">
        <f ca="1">DATEDIF(F479,TODAY(),"Y")</f>
        <v>20</v>
      </c>
      <c r="I479" s="55" t="s">
        <v>262</v>
      </c>
      <c r="J479" s="56">
        <v>61148</v>
      </c>
      <c r="K479" s="57">
        <v>2</v>
      </c>
    </row>
    <row r="480" spans="1:11" x14ac:dyDescent="0.25">
      <c r="A480" s="42" t="s">
        <v>792</v>
      </c>
      <c r="B480" s="49" t="s">
        <v>245</v>
      </c>
      <c r="C480" s="42" t="s">
        <v>767</v>
      </c>
      <c r="D480" s="145">
        <v>769575078</v>
      </c>
      <c r="E480" s="42" t="s">
        <v>256</v>
      </c>
      <c r="F480" s="84">
        <v>35821</v>
      </c>
      <c r="G480" s="108" t="str">
        <f>CHOOSE(MONTH(F480),"Jan","Feb","Mar","Apr","May","Jun","Jul","Aug","Sep","Oct","Nov","Dec")</f>
        <v>Jan</v>
      </c>
      <c r="H480" s="54">
        <f ca="1">DATEDIF(F480,TODAY(),"Y")</f>
        <v>18</v>
      </c>
      <c r="I480" s="55" t="s">
        <v>267</v>
      </c>
      <c r="J480" s="56">
        <v>22870</v>
      </c>
      <c r="K480" s="57">
        <v>3</v>
      </c>
    </row>
    <row r="481" spans="1:16" x14ac:dyDescent="0.25">
      <c r="A481" s="42" t="s">
        <v>803</v>
      </c>
      <c r="B481" s="49" t="s">
        <v>280</v>
      </c>
      <c r="C481" s="42" t="s">
        <v>767</v>
      </c>
      <c r="D481" s="145">
        <v>411582249</v>
      </c>
      <c r="E481" s="42" t="s">
        <v>261</v>
      </c>
      <c r="F481" s="84">
        <v>35826</v>
      </c>
      <c r="G481" s="108" t="str">
        <f>CHOOSE(MONTH(F481),"Jan","Feb","Mar","Apr","May","Jun","Jul","Aug","Sep","Oct","Nov","Dec")</f>
        <v>Jan</v>
      </c>
      <c r="H481" s="54">
        <f ca="1">DATEDIF(F481,TODAY(),"Y")</f>
        <v>18</v>
      </c>
      <c r="I481" s="55" t="s">
        <v>257</v>
      </c>
      <c r="J481" s="56">
        <v>31205</v>
      </c>
      <c r="K481" s="57">
        <v>2</v>
      </c>
    </row>
    <row r="482" spans="1:16" x14ac:dyDescent="0.25">
      <c r="A482" s="42" t="s">
        <v>806</v>
      </c>
      <c r="B482" s="49" t="s">
        <v>271</v>
      </c>
      <c r="C482" s="42" t="s">
        <v>767</v>
      </c>
      <c r="D482" s="145">
        <v>597176358</v>
      </c>
      <c r="E482" s="42" t="s">
        <v>256</v>
      </c>
      <c r="F482" s="84">
        <v>36536</v>
      </c>
      <c r="G482" s="108" t="str">
        <f>CHOOSE(MONTH(F482),"Jan","Feb","Mar","Apr","May","Jun","Jul","Aug","Sep","Oct","Nov","Dec")</f>
        <v>Jan</v>
      </c>
      <c r="H482" s="54">
        <f ca="1">DATEDIF(F482,TODAY(),"Y")</f>
        <v>16</v>
      </c>
      <c r="I482" s="55" t="s">
        <v>257</v>
      </c>
      <c r="J482" s="56">
        <v>62400</v>
      </c>
      <c r="K482" s="57">
        <v>4</v>
      </c>
    </row>
    <row r="483" spans="1:16" x14ac:dyDescent="0.25">
      <c r="A483" s="42" t="s">
        <v>811</v>
      </c>
      <c r="B483" s="49" t="s">
        <v>266</v>
      </c>
      <c r="C483" s="42" t="s">
        <v>767</v>
      </c>
      <c r="D483" s="145">
        <v>992259277</v>
      </c>
      <c r="E483" s="42" t="s">
        <v>261</v>
      </c>
      <c r="F483" s="84">
        <v>38723</v>
      </c>
      <c r="G483" s="108" t="str">
        <f>CHOOSE(MONTH(F483),"Jan","Feb","Mar","Apr","May","Jun","Jul","Aug","Sep","Oct","Nov","Dec")</f>
        <v>Jan</v>
      </c>
      <c r="H483" s="54">
        <f ca="1">DATEDIF(F483,TODAY(),"Y")</f>
        <v>10</v>
      </c>
      <c r="I483" s="55" t="s">
        <v>283</v>
      </c>
      <c r="J483" s="56">
        <v>10630</v>
      </c>
      <c r="K483" s="57">
        <v>3</v>
      </c>
    </row>
    <row r="484" spans="1:16" x14ac:dyDescent="0.25">
      <c r="A484" s="42" t="s">
        <v>799</v>
      </c>
      <c r="B484" s="49" t="s">
        <v>245</v>
      </c>
      <c r="C484" s="42" t="s">
        <v>767</v>
      </c>
      <c r="D484" s="145">
        <v>502841158</v>
      </c>
      <c r="E484" s="42" t="s">
        <v>247</v>
      </c>
      <c r="F484" s="84">
        <v>33638</v>
      </c>
      <c r="G484" s="108" t="str">
        <f>CHOOSE(MONTH(F484),"Jan","Feb","Mar","Apr","May","Jun","Jul","Aug","Sep","Oct","Nov","Dec")</f>
        <v>Feb</v>
      </c>
      <c r="H484" s="54">
        <f ca="1">DATEDIF(F484,TODAY(),"Y")</f>
        <v>24</v>
      </c>
      <c r="I484" s="55"/>
      <c r="J484" s="56">
        <v>47590</v>
      </c>
      <c r="K484" s="57">
        <v>3</v>
      </c>
    </row>
    <row r="485" spans="1:16" x14ac:dyDescent="0.25">
      <c r="A485" s="42" t="s">
        <v>793</v>
      </c>
      <c r="B485" s="49" t="s">
        <v>245</v>
      </c>
      <c r="C485" s="42" t="s">
        <v>767</v>
      </c>
      <c r="D485" s="145">
        <v>162101346</v>
      </c>
      <c r="E485" s="42" t="s">
        <v>247</v>
      </c>
      <c r="F485" s="84">
        <v>33658</v>
      </c>
      <c r="G485" s="108" t="str">
        <f>CHOOSE(MONTH(F485),"Jan","Feb","Mar","Apr","May","Jun","Jul","Aug","Sep","Oct","Nov","Dec")</f>
        <v>Feb</v>
      </c>
      <c r="H485" s="54">
        <f ca="1">DATEDIF(F485,TODAY(),"Y")</f>
        <v>24</v>
      </c>
      <c r="I485" s="55"/>
      <c r="J485" s="56">
        <v>60550</v>
      </c>
      <c r="K485" s="57">
        <v>2</v>
      </c>
    </row>
    <row r="486" spans="1:16" x14ac:dyDescent="0.25">
      <c r="A486" s="42" t="s">
        <v>782</v>
      </c>
      <c r="B486" s="49" t="s">
        <v>271</v>
      </c>
      <c r="C486" s="42" t="s">
        <v>767</v>
      </c>
      <c r="D486" s="145">
        <v>430024398</v>
      </c>
      <c r="E486" s="42" t="s">
        <v>256</v>
      </c>
      <c r="F486" s="84">
        <v>36195</v>
      </c>
      <c r="G486" s="108" t="str">
        <f>CHOOSE(MONTH(F486),"Jan","Feb","Mar","Apr","May","Jun","Jul","Aug","Sep","Oct","Nov","Dec")</f>
        <v>Feb</v>
      </c>
      <c r="H486" s="54">
        <f ca="1">DATEDIF(F486,TODAY(),"Y")</f>
        <v>17</v>
      </c>
      <c r="I486" s="55" t="s">
        <v>267</v>
      </c>
      <c r="J486" s="56">
        <v>46360</v>
      </c>
      <c r="K486" s="57">
        <v>5</v>
      </c>
    </row>
    <row r="487" spans="1:16" x14ac:dyDescent="0.25">
      <c r="A487" s="42" t="s">
        <v>818</v>
      </c>
      <c r="B487" s="49" t="s">
        <v>280</v>
      </c>
      <c r="C487" s="42" t="s">
        <v>767</v>
      </c>
      <c r="D487" s="145">
        <v>847045764</v>
      </c>
      <c r="E487" s="42" t="s">
        <v>261</v>
      </c>
      <c r="F487" s="84">
        <v>36217</v>
      </c>
      <c r="G487" s="108" t="str">
        <f>CHOOSE(MONTH(F487),"Jan","Feb","Mar","Apr","May","Jun","Jul","Aug","Sep","Oct","Nov","Dec")</f>
        <v>Feb</v>
      </c>
      <c r="H487" s="54">
        <f ca="1">DATEDIF(F487,TODAY(),"Y")</f>
        <v>17</v>
      </c>
      <c r="I487" s="55" t="s">
        <v>283</v>
      </c>
      <c r="J487" s="56">
        <v>22475</v>
      </c>
      <c r="K487" s="57">
        <v>4</v>
      </c>
    </row>
    <row r="488" spans="1:16" x14ac:dyDescent="0.25">
      <c r="A488" s="42" t="s">
        <v>807</v>
      </c>
      <c r="B488" s="49" t="s">
        <v>285</v>
      </c>
      <c r="C488" s="42" t="s">
        <v>767</v>
      </c>
      <c r="D488" s="145">
        <v>412373847</v>
      </c>
      <c r="E488" s="42" t="s">
        <v>256</v>
      </c>
      <c r="F488" s="84">
        <v>39864</v>
      </c>
      <c r="G488" s="108" t="str">
        <f>CHOOSE(MONTH(F488),"Jan","Feb","Mar","Apr","May","Jun","Jul","Aug","Sep","Oct","Nov","Dec")</f>
        <v>Feb</v>
      </c>
      <c r="H488" s="54">
        <f ca="1">DATEDIF(F488,TODAY(),"Y")</f>
        <v>7</v>
      </c>
      <c r="I488" s="55" t="s">
        <v>257</v>
      </c>
      <c r="J488" s="56">
        <v>64320</v>
      </c>
      <c r="K488" s="57">
        <v>5</v>
      </c>
    </row>
    <row r="489" spans="1:16" x14ac:dyDescent="0.25">
      <c r="A489" s="42" t="s">
        <v>809</v>
      </c>
      <c r="B489" s="49" t="s">
        <v>245</v>
      </c>
      <c r="C489" s="42" t="s">
        <v>767</v>
      </c>
      <c r="D489" s="145">
        <v>973367569</v>
      </c>
      <c r="E489" s="42" t="s">
        <v>261</v>
      </c>
      <c r="F489" s="84">
        <v>33671</v>
      </c>
      <c r="G489" s="108" t="str">
        <f>CHOOSE(MONTH(F489),"Jan","Feb","Mar","Apr","May","Jun","Jul","Aug","Sep","Oct","Nov","Dec")</f>
        <v>Mar</v>
      </c>
      <c r="H489" s="54">
        <f ca="1">DATEDIF(F489,TODAY(),"Y")</f>
        <v>24</v>
      </c>
      <c r="I489" s="55" t="s">
        <v>257</v>
      </c>
      <c r="J489" s="56">
        <v>46380</v>
      </c>
      <c r="K489" s="57">
        <v>3</v>
      </c>
      <c r="O489" s="78"/>
      <c r="P489" s="78"/>
    </row>
    <row r="490" spans="1:16" x14ac:dyDescent="0.25">
      <c r="A490" s="42" t="s">
        <v>786</v>
      </c>
      <c r="B490" s="49" t="s">
        <v>285</v>
      </c>
      <c r="C490" s="42" t="s">
        <v>767</v>
      </c>
      <c r="D490" s="145">
        <v>368521669</v>
      </c>
      <c r="E490" s="42" t="s">
        <v>247</v>
      </c>
      <c r="F490" s="84">
        <v>35146</v>
      </c>
      <c r="G490" s="108" t="str">
        <f>CHOOSE(MONTH(F490),"Jan","Feb","Mar","Apr","May","Jun","Jul","Aug","Sep","Oct","Nov","Dec")</f>
        <v>Mar</v>
      </c>
      <c r="H490" s="54">
        <f ca="1">DATEDIF(F490,TODAY(),"Y")</f>
        <v>20</v>
      </c>
      <c r="I490" s="55"/>
      <c r="J490" s="56">
        <v>73190</v>
      </c>
      <c r="K490" s="57">
        <v>1</v>
      </c>
    </row>
    <row r="491" spans="1:16" x14ac:dyDescent="0.25">
      <c r="A491" s="42" t="s">
        <v>773</v>
      </c>
      <c r="B491" s="49" t="s">
        <v>245</v>
      </c>
      <c r="C491" s="42" t="s">
        <v>767</v>
      </c>
      <c r="D491" s="145">
        <v>788970964</v>
      </c>
      <c r="E491" s="42" t="s">
        <v>256</v>
      </c>
      <c r="F491" s="84">
        <v>35151</v>
      </c>
      <c r="G491" s="108" t="str">
        <f>CHOOSE(MONTH(F491),"Jan","Feb","Mar","Apr","May","Jun","Jul","Aug","Sep","Oct","Nov","Dec")</f>
        <v>Mar</v>
      </c>
      <c r="H491" s="54">
        <f ca="1">DATEDIF(F491,TODAY(),"Y")</f>
        <v>20</v>
      </c>
      <c r="I491" s="55" t="s">
        <v>276</v>
      </c>
      <c r="J491" s="56">
        <v>29760</v>
      </c>
      <c r="K491" s="57">
        <v>2</v>
      </c>
    </row>
    <row r="492" spans="1:16" x14ac:dyDescent="0.25">
      <c r="A492" s="42" t="s">
        <v>770</v>
      </c>
      <c r="B492" s="49" t="s">
        <v>285</v>
      </c>
      <c r="C492" s="42" t="s">
        <v>767</v>
      </c>
      <c r="D492" s="145">
        <v>775849338</v>
      </c>
      <c r="E492" s="42" t="s">
        <v>256</v>
      </c>
      <c r="F492" s="84">
        <v>37701</v>
      </c>
      <c r="G492" s="108" t="str">
        <f>CHOOSE(MONTH(F492),"Jan","Feb","Mar","Apr","May","Jun","Jul","Aug","Sep","Oct","Nov","Dec")</f>
        <v>Mar</v>
      </c>
      <c r="H492" s="54">
        <f ca="1">DATEDIF(F492,TODAY(),"Y")</f>
        <v>13</v>
      </c>
      <c r="I492" s="55" t="s">
        <v>262</v>
      </c>
      <c r="J492" s="56">
        <v>23560</v>
      </c>
      <c r="K492" s="57">
        <v>3</v>
      </c>
    </row>
    <row r="493" spans="1:16" x14ac:dyDescent="0.25">
      <c r="A493" s="42" t="s">
        <v>848</v>
      </c>
      <c r="B493" s="49" t="s">
        <v>266</v>
      </c>
      <c r="C493" s="42" t="s">
        <v>767</v>
      </c>
      <c r="D493" s="145">
        <v>297130809</v>
      </c>
      <c r="E493" s="42" t="s">
        <v>256</v>
      </c>
      <c r="F493" s="84">
        <v>38423</v>
      </c>
      <c r="G493" s="108" t="str">
        <f>CHOOSE(MONTH(F493),"Jan","Feb","Mar","Apr","May","Jun","Jul","Aug","Sep","Oct","Nov","Dec")</f>
        <v>Mar</v>
      </c>
      <c r="H493" s="54">
        <f ca="1">DATEDIF(F493,TODAY(),"Y")</f>
        <v>11</v>
      </c>
      <c r="I493" s="55" t="s">
        <v>276</v>
      </c>
      <c r="J493" s="56">
        <v>61330</v>
      </c>
      <c r="K493" s="57">
        <v>2</v>
      </c>
    </row>
    <row r="494" spans="1:16" x14ac:dyDescent="0.25">
      <c r="A494" s="42" t="s">
        <v>800</v>
      </c>
      <c r="B494" s="49" t="s">
        <v>266</v>
      </c>
      <c r="C494" s="42" t="s">
        <v>767</v>
      </c>
      <c r="D494" s="145">
        <v>536780700</v>
      </c>
      <c r="E494" s="42" t="s">
        <v>256</v>
      </c>
      <c r="F494" s="84">
        <v>38790</v>
      </c>
      <c r="G494" s="108" t="str">
        <f>CHOOSE(MONTH(F494),"Jan","Feb","Mar","Apr","May","Jun","Jul","Aug","Sep","Oct","Nov","Dec")</f>
        <v>Mar</v>
      </c>
      <c r="H494" s="54">
        <f ca="1">DATEDIF(F494,TODAY(),"Y")</f>
        <v>10</v>
      </c>
      <c r="I494" s="55" t="s">
        <v>262</v>
      </c>
      <c r="J494" s="56">
        <v>62688</v>
      </c>
      <c r="K494" s="57">
        <v>3</v>
      </c>
    </row>
    <row r="495" spans="1:16" x14ac:dyDescent="0.25">
      <c r="A495" s="42" t="s">
        <v>785</v>
      </c>
      <c r="B495" s="49" t="s">
        <v>245</v>
      </c>
      <c r="C495" s="42" t="s">
        <v>767</v>
      </c>
      <c r="D495" s="145">
        <v>198202323</v>
      </c>
      <c r="E495" s="42" t="s">
        <v>256</v>
      </c>
      <c r="F495" s="84">
        <v>39899</v>
      </c>
      <c r="G495" s="108" t="str">
        <f>CHOOSE(MONTH(F495),"Jan","Feb","Mar","Apr","May","Jun","Jul","Aug","Sep","Oct","Nov","Dec")</f>
        <v>Mar</v>
      </c>
      <c r="H495" s="54">
        <f ca="1">DATEDIF(F495,TODAY(),"Y")</f>
        <v>7</v>
      </c>
      <c r="I495" s="55" t="s">
        <v>257</v>
      </c>
      <c r="J495" s="56">
        <v>24790</v>
      </c>
      <c r="K495" s="57">
        <v>3</v>
      </c>
    </row>
    <row r="496" spans="1:16" x14ac:dyDescent="0.25">
      <c r="A496" s="42" t="s">
        <v>834</v>
      </c>
      <c r="B496" s="49" t="s">
        <v>251</v>
      </c>
      <c r="C496" s="42" t="s">
        <v>767</v>
      </c>
      <c r="D496" s="145">
        <v>995735344</v>
      </c>
      <c r="E496" s="42" t="s">
        <v>261</v>
      </c>
      <c r="F496" s="106">
        <v>40254</v>
      </c>
      <c r="G496" s="108" t="str">
        <f>CHOOSE(MONTH(F496),"Jan","Feb","Mar","Apr","May","Jun","Jul","Aug","Sep","Oct","Nov","Dec")</f>
        <v>Mar</v>
      </c>
      <c r="H496" s="54">
        <f ca="1">DATEDIF(F496,TODAY(),"Y")</f>
        <v>6</v>
      </c>
      <c r="I496" s="55" t="s">
        <v>283</v>
      </c>
      <c r="J496" s="56">
        <v>48700</v>
      </c>
      <c r="K496" s="57">
        <v>3</v>
      </c>
    </row>
    <row r="497" spans="1:16" x14ac:dyDescent="0.25">
      <c r="A497" s="42" t="s">
        <v>777</v>
      </c>
      <c r="B497" s="49" t="s">
        <v>271</v>
      </c>
      <c r="C497" s="42" t="s">
        <v>767</v>
      </c>
      <c r="D497" s="145">
        <v>161660789</v>
      </c>
      <c r="E497" s="42" t="s">
        <v>256</v>
      </c>
      <c r="F497" s="84">
        <v>40624</v>
      </c>
      <c r="G497" s="108" t="str">
        <f>CHOOSE(MONTH(F497),"Jan","Feb","Mar","Apr","May","Jun","Jul","Aug","Sep","Oct","Nov","Dec")</f>
        <v>Mar</v>
      </c>
      <c r="H497" s="54">
        <f ca="1">DATEDIF(F497,TODAY(),"Y")</f>
        <v>5</v>
      </c>
      <c r="I497" s="55" t="s">
        <v>276</v>
      </c>
      <c r="J497" s="56">
        <v>86500</v>
      </c>
      <c r="K497" s="57">
        <v>1</v>
      </c>
    </row>
    <row r="498" spans="1:16" x14ac:dyDescent="0.25">
      <c r="A498" s="42" t="s">
        <v>772</v>
      </c>
      <c r="B498" s="49" t="s">
        <v>271</v>
      </c>
      <c r="C498" s="42" t="s">
        <v>767</v>
      </c>
      <c r="D498" s="145">
        <v>694172844</v>
      </c>
      <c r="E498" s="42" t="s">
        <v>256</v>
      </c>
      <c r="F498" s="84">
        <v>34061</v>
      </c>
      <c r="G498" s="108" t="str">
        <f>CHOOSE(MONTH(F498),"Jan","Feb","Mar","Apr","May","Jun","Jul","Aug","Sep","Oct","Nov","Dec")</f>
        <v>Apr</v>
      </c>
      <c r="H498" s="54">
        <f ca="1">DATEDIF(F498,TODAY(),"Y")</f>
        <v>23</v>
      </c>
      <c r="I498" s="55" t="s">
        <v>257</v>
      </c>
      <c r="J498" s="56">
        <v>23320</v>
      </c>
      <c r="K498" s="57">
        <v>4</v>
      </c>
      <c r="O498" s="78"/>
      <c r="P498" s="78"/>
    </row>
    <row r="499" spans="1:16" x14ac:dyDescent="0.25">
      <c r="A499" s="42" t="s">
        <v>831</v>
      </c>
      <c r="B499" s="49" t="s">
        <v>245</v>
      </c>
      <c r="C499" s="42" t="s">
        <v>767</v>
      </c>
      <c r="D499" s="145">
        <v>817751158</v>
      </c>
      <c r="E499" s="42" t="s">
        <v>261</v>
      </c>
      <c r="F499" s="84">
        <v>34793</v>
      </c>
      <c r="G499" s="108" t="str">
        <f>CHOOSE(MONTH(F499),"Jan","Feb","Mar","Apr","May","Jun","Jul","Aug","Sep","Oct","Nov","Dec")</f>
        <v>Apr</v>
      </c>
      <c r="H499" s="54">
        <f ca="1">DATEDIF(F499,TODAY(),"Y")</f>
        <v>21</v>
      </c>
      <c r="I499" s="55" t="s">
        <v>283</v>
      </c>
      <c r="J499" s="56">
        <v>10700</v>
      </c>
      <c r="K499" s="57">
        <v>4</v>
      </c>
    </row>
    <row r="500" spans="1:16" x14ac:dyDescent="0.25">
      <c r="A500" s="42" t="s">
        <v>827</v>
      </c>
      <c r="B500" s="49" t="s">
        <v>285</v>
      </c>
      <c r="C500" s="42" t="s">
        <v>767</v>
      </c>
      <c r="D500" s="145">
        <v>934364801</v>
      </c>
      <c r="E500" s="42" t="s">
        <v>256</v>
      </c>
      <c r="F500" s="84">
        <v>35169</v>
      </c>
      <c r="G500" s="108" t="str">
        <f>CHOOSE(MONTH(F500),"Jan","Feb","Mar","Apr","May","Jun","Jul","Aug","Sep","Oct","Nov","Dec")</f>
        <v>Apr</v>
      </c>
      <c r="H500" s="54">
        <f ca="1">DATEDIF(F500,TODAY(),"Y")</f>
        <v>20</v>
      </c>
      <c r="I500" s="55" t="s">
        <v>276</v>
      </c>
      <c r="J500" s="56">
        <v>72640</v>
      </c>
      <c r="K500" s="57">
        <v>3</v>
      </c>
    </row>
    <row r="501" spans="1:16" x14ac:dyDescent="0.25">
      <c r="A501" s="42" t="s">
        <v>797</v>
      </c>
      <c r="B501" s="49" t="s">
        <v>285</v>
      </c>
      <c r="C501" s="42" t="s">
        <v>767</v>
      </c>
      <c r="D501" s="145">
        <v>246219020</v>
      </c>
      <c r="E501" s="42" t="s">
        <v>256</v>
      </c>
      <c r="F501" s="84">
        <v>35528</v>
      </c>
      <c r="G501" s="108" t="str">
        <f>CHOOSE(MONTH(F501),"Jan","Feb","Mar","Apr","May","Jun","Jul","Aug","Sep","Oct","Nov","Dec")</f>
        <v>Apr</v>
      </c>
      <c r="H501" s="54">
        <f ca="1">DATEDIF(F501,TODAY(),"Y")</f>
        <v>19</v>
      </c>
      <c r="I501" s="55" t="s">
        <v>257</v>
      </c>
      <c r="J501" s="56">
        <v>63270</v>
      </c>
      <c r="K501" s="57">
        <v>1</v>
      </c>
    </row>
    <row r="502" spans="1:16" x14ac:dyDescent="0.25">
      <c r="A502" s="42" t="s">
        <v>798</v>
      </c>
      <c r="B502" s="49" t="s">
        <v>245</v>
      </c>
      <c r="C502" s="42" t="s">
        <v>767</v>
      </c>
      <c r="D502" s="145">
        <v>646419304</v>
      </c>
      <c r="E502" s="42" t="s">
        <v>247</v>
      </c>
      <c r="F502" s="84">
        <v>35541</v>
      </c>
      <c r="G502" s="108" t="str">
        <f>CHOOSE(MONTH(F502),"Jan","Feb","Mar","Apr","May","Jun","Jul","Aug","Sep","Oct","Nov","Dec")</f>
        <v>Apr</v>
      </c>
      <c r="H502" s="54">
        <f ca="1">DATEDIF(F502,TODAY(),"Y")</f>
        <v>19</v>
      </c>
      <c r="I502" s="55"/>
      <c r="J502" s="56">
        <v>49530</v>
      </c>
      <c r="K502" s="57">
        <v>4</v>
      </c>
    </row>
    <row r="503" spans="1:16" x14ac:dyDescent="0.25">
      <c r="A503" s="42" t="s">
        <v>790</v>
      </c>
      <c r="B503" s="49" t="s">
        <v>266</v>
      </c>
      <c r="C503" s="42" t="s">
        <v>767</v>
      </c>
      <c r="D503" s="145">
        <v>421152382</v>
      </c>
      <c r="E503" s="42" t="s">
        <v>261</v>
      </c>
      <c r="F503" s="84">
        <v>40293</v>
      </c>
      <c r="G503" s="108" t="str">
        <f>CHOOSE(MONTH(F503),"Jan","Feb","Mar","Apr","May","Jun","Jul","Aug","Sep","Oct","Nov","Dec")</f>
        <v>Apr</v>
      </c>
      <c r="H503" s="54">
        <f ca="1">DATEDIF(F503,TODAY(),"Y")</f>
        <v>6</v>
      </c>
      <c r="I503" s="55" t="s">
        <v>257</v>
      </c>
      <c r="J503" s="56">
        <v>11810</v>
      </c>
      <c r="K503" s="57">
        <v>1</v>
      </c>
    </row>
    <row r="504" spans="1:16" x14ac:dyDescent="0.25">
      <c r="A504" s="42" t="s">
        <v>822</v>
      </c>
      <c r="B504" s="49" t="s">
        <v>271</v>
      </c>
      <c r="C504" s="42" t="s">
        <v>767</v>
      </c>
      <c r="D504" s="145">
        <v>120299883</v>
      </c>
      <c r="E504" s="42" t="s">
        <v>256</v>
      </c>
      <c r="F504" s="84">
        <v>33361</v>
      </c>
      <c r="G504" s="108" t="str">
        <f>CHOOSE(MONTH(F504),"Jan","Feb","Mar","Apr","May","Jun","Jul","Aug","Sep","Oct","Nov","Dec")</f>
        <v>May</v>
      </c>
      <c r="H504" s="54">
        <f ca="1">DATEDIF(F504,TODAY(),"Y")</f>
        <v>25</v>
      </c>
      <c r="I504" s="55" t="s">
        <v>257</v>
      </c>
      <c r="J504" s="56">
        <v>24090</v>
      </c>
      <c r="K504" s="57">
        <v>4</v>
      </c>
    </row>
    <row r="505" spans="1:16" x14ac:dyDescent="0.25">
      <c r="A505" s="42" t="s">
        <v>837</v>
      </c>
      <c r="B505" s="49" t="s">
        <v>271</v>
      </c>
      <c r="C505" s="42" t="s">
        <v>767</v>
      </c>
      <c r="D505" s="145">
        <v>275575749</v>
      </c>
      <c r="E505" s="42" t="s">
        <v>247</v>
      </c>
      <c r="F505" s="84">
        <v>34478</v>
      </c>
      <c r="G505" s="108" t="str">
        <f>CHOOSE(MONTH(F505),"Jan","Feb","Mar","Apr","May","Jun","Jul","Aug","Sep","Oct","Nov","Dec")</f>
        <v>May</v>
      </c>
      <c r="H505" s="54">
        <f ca="1">DATEDIF(F505,TODAY(),"Y")</f>
        <v>22</v>
      </c>
      <c r="I505" s="55"/>
      <c r="J505" s="56">
        <v>56650</v>
      </c>
      <c r="K505" s="57">
        <v>1</v>
      </c>
    </row>
    <row r="506" spans="1:16" x14ac:dyDescent="0.25">
      <c r="A506" s="42" t="s">
        <v>815</v>
      </c>
      <c r="B506" s="49" t="s">
        <v>251</v>
      </c>
      <c r="C506" s="42" t="s">
        <v>767</v>
      </c>
      <c r="D506" s="145">
        <v>830158236</v>
      </c>
      <c r="E506" s="42" t="s">
        <v>256</v>
      </c>
      <c r="F506" s="84">
        <v>35918</v>
      </c>
      <c r="G506" s="108" t="str">
        <f>CHOOSE(MONTH(F506),"Jan","Feb","Mar","Apr","May","Jun","Jul","Aug","Sep","Oct","Nov","Dec")</f>
        <v>May</v>
      </c>
      <c r="H506" s="54">
        <f ca="1">DATEDIF(F506,TODAY(),"Y")</f>
        <v>18</v>
      </c>
      <c r="I506" s="55" t="s">
        <v>262</v>
      </c>
      <c r="J506" s="56">
        <v>73740</v>
      </c>
      <c r="K506" s="57">
        <v>4</v>
      </c>
    </row>
    <row r="507" spans="1:16" x14ac:dyDescent="0.25">
      <c r="A507" s="42" t="s">
        <v>775</v>
      </c>
      <c r="B507" s="49" t="s">
        <v>245</v>
      </c>
      <c r="C507" s="42" t="s">
        <v>767</v>
      </c>
      <c r="D507" s="145">
        <v>648408725</v>
      </c>
      <c r="E507" s="42" t="s">
        <v>252</v>
      </c>
      <c r="F507" s="84">
        <v>35946</v>
      </c>
      <c r="G507" s="108" t="str">
        <f>CHOOSE(MONTH(F507),"Jan","Feb","Mar","Apr","May","Jun","Jul","Aug","Sep","Oct","Nov","Dec")</f>
        <v>May</v>
      </c>
      <c r="H507" s="54">
        <f ca="1">DATEDIF(F507,TODAY(),"Y")</f>
        <v>18</v>
      </c>
      <c r="I507" s="55"/>
      <c r="J507" s="56">
        <v>14332</v>
      </c>
      <c r="K507" s="57">
        <v>5</v>
      </c>
    </row>
    <row r="508" spans="1:16" x14ac:dyDescent="0.25">
      <c r="A508" s="42" t="s">
        <v>840</v>
      </c>
      <c r="B508" s="49" t="s">
        <v>271</v>
      </c>
      <c r="C508" s="42" t="s">
        <v>767</v>
      </c>
      <c r="D508" s="145">
        <v>533490834</v>
      </c>
      <c r="E508" s="42" t="s">
        <v>247</v>
      </c>
      <c r="F508" s="84">
        <v>36297</v>
      </c>
      <c r="G508" s="108" t="str">
        <f>CHOOSE(MONTH(F508),"Jan","Feb","Mar","Apr","May","Jun","Jul","Aug","Sep","Oct","Nov","Dec")</f>
        <v>May</v>
      </c>
      <c r="H508" s="54">
        <f ca="1">DATEDIF(F508,TODAY(),"Y")</f>
        <v>17</v>
      </c>
      <c r="I508" s="55"/>
      <c r="J508" s="56">
        <v>57990</v>
      </c>
      <c r="K508" s="57">
        <v>5</v>
      </c>
    </row>
    <row r="509" spans="1:16" x14ac:dyDescent="0.25">
      <c r="A509" s="42" t="s">
        <v>835</v>
      </c>
      <c r="B509" s="49" t="s">
        <v>271</v>
      </c>
      <c r="C509" s="42" t="s">
        <v>767</v>
      </c>
      <c r="D509" s="145">
        <v>600754807</v>
      </c>
      <c r="E509" s="42" t="s">
        <v>256</v>
      </c>
      <c r="F509" s="84">
        <v>36673</v>
      </c>
      <c r="G509" s="108" t="str">
        <f>CHOOSE(MONTH(F509),"Jan","Feb","Mar","Apr","May","Jun","Jul","Aug","Sep","Oct","Nov","Dec")</f>
        <v>May</v>
      </c>
      <c r="H509" s="54">
        <f ca="1">DATEDIF(F509,TODAY(),"Y")</f>
        <v>16</v>
      </c>
      <c r="I509" s="55" t="s">
        <v>276</v>
      </c>
      <c r="J509" s="56">
        <v>48330</v>
      </c>
      <c r="K509" s="57">
        <v>1</v>
      </c>
    </row>
    <row r="510" spans="1:16" x14ac:dyDescent="0.25">
      <c r="A510" s="42" t="s">
        <v>843</v>
      </c>
      <c r="B510" s="49" t="s">
        <v>271</v>
      </c>
      <c r="C510" s="42" t="s">
        <v>767</v>
      </c>
      <c r="D510" s="145">
        <v>976680380</v>
      </c>
      <c r="E510" s="42" t="s">
        <v>247</v>
      </c>
      <c r="F510" s="84">
        <v>37404</v>
      </c>
      <c r="G510" s="108" t="str">
        <f>CHOOSE(MONTH(F510),"Jan","Feb","Mar","Apr","May","Jun","Jul","Aug","Sep","Oct","Nov","Dec")</f>
        <v>May</v>
      </c>
      <c r="H510" s="54">
        <f ca="1">DATEDIF(F510,TODAY(),"Y")</f>
        <v>14</v>
      </c>
      <c r="I510" s="55"/>
      <c r="J510" s="56">
        <v>60070</v>
      </c>
      <c r="K510" s="57">
        <v>3</v>
      </c>
    </row>
    <row r="511" spans="1:16" x14ac:dyDescent="0.25">
      <c r="A511" s="42" t="s">
        <v>838</v>
      </c>
      <c r="B511" s="49" t="s">
        <v>266</v>
      </c>
      <c r="C511" s="42" t="s">
        <v>767</v>
      </c>
      <c r="D511" s="145">
        <v>549812811</v>
      </c>
      <c r="E511" s="42" t="s">
        <v>256</v>
      </c>
      <c r="F511" s="84">
        <v>39217</v>
      </c>
      <c r="G511" s="108" t="str">
        <f>CHOOSE(MONTH(F511),"Jan","Feb","Mar","Apr","May","Jun","Jul","Aug","Sep","Oct","Nov","Dec")</f>
        <v>May</v>
      </c>
      <c r="H511" s="54">
        <f ca="1">DATEDIF(F511,TODAY(),"Y")</f>
        <v>9</v>
      </c>
      <c r="I511" s="55" t="s">
        <v>257</v>
      </c>
      <c r="J511" s="56">
        <v>73830</v>
      </c>
      <c r="K511" s="57">
        <v>2</v>
      </c>
    </row>
    <row r="512" spans="1:16" x14ac:dyDescent="0.25">
      <c r="A512" s="42" t="s">
        <v>832</v>
      </c>
      <c r="B512" s="49" t="s">
        <v>271</v>
      </c>
      <c r="C512" s="42" t="s">
        <v>767</v>
      </c>
      <c r="D512" s="145">
        <v>392553049</v>
      </c>
      <c r="E512" s="42" t="s">
        <v>247</v>
      </c>
      <c r="F512" s="84">
        <v>33402</v>
      </c>
      <c r="G512" s="108" t="str">
        <f>CHOOSE(MONTH(F512),"Jan","Feb","Mar","Apr","May","Jun","Jul","Aug","Sep","Oct","Nov","Dec")</f>
        <v>Jun</v>
      </c>
      <c r="H512" s="54">
        <f ca="1">DATEDIF(F512,TODAY(),"Y")</f>
        <v>25</v>
      </c>
      <c r="I512" s="55"/>
      <c r="J512" s="56">
        <v>79380</v>
      </c>
      <c r="K512" s="57">
        <v>1</v>
      </c>
    </row>
    <row r="513" spans="1:11" x14ac:dyDescent="0.25">
      <c r="A513" s="42" t="s">
        <v>779</v>
      </c>
      <c r="B513" s="49" t="s">
        <v>285</v>
      </c>
      <c r="C513" s="42" t="s">
        <v>767</v>
      </c>
      <c r="D513" s="145">
        <v>633745603</v>
      </c>
      <c r="E513" s="42" t="s">
        <v>256</v>
      </c>
      <c r="F513" s="84">
        <v>34149</v>
      </c>
      <c r="G513" s="108" t="str">
        <f>CHOOSE(MONTH(F513),"Jan","Feb","Mar","Apr","May","Jun","Jul","Aug","Sep","Oct","Nov","Dec")</f>
        <v>Jun</v>
      </c>
      <c r="H513" s="54">
        <f ca="1">DATEDIF(F513,TODAY(),"Y")</f>
        <v>23</v>
      </c>
      <c r="I513" s="55" t="s">
        <v>276</v>
      </c>
      <c r="J513" s="56">
        <v>63440</v>
      </c>
      <c r="K513" s="57">
        <v>3</v>
      </c>
    </row>
    <row r="514" spans="1:11" x14ac:dyDescent="0.25">
      <c r="A514" s="42" t="s">
        <v>774</v>
      </c>
      <c r="B514" s="49" t="s">
        <v>271</v>
      </c>
      <c r="C514" s="42" t="s">
        <v>767</v>
      </c>
      <c r="D514" s="145">
        <v>146219035</v>
      </c>
      <c r="E514" s="42" t="s">
        <v>256</v>
      </c>
      <c r="F514" s="84">
        <v>35219</v>
      </c>
      <c r="G514" s="108" t="str">
        <f>CHOOSE(MONTH(F514),"Jan","Feb","Mar","Apr","May","Jun","Jul","Aug","Sep","Oct","Nov","Dec")</f>
        <v>Jun</v>
      </c>
      <c r="H514" s="54">
        <f ca="1">DATEDIF(F514,TODAY(),"Y")</f>
        <v>20</v>
      </c>
      <c r="I514" s="55" t="s">
        <v>257</v>
      </c>
      <c r="J514" s="56">
        <v>47340</v>
      </c>
      <c r="K514" s="57">
        <v>2</v>
      </c>
    </row>
    <row r="515" spans="1:11" x14ac:dyDescent="0.25">
      <c r="A515" s="42" t="s">
        <v>814</v>
      </c>
      <c r="B515" s="49" t="s">
        <v>285</v>
      </c>
      <c r="C515" s="42" t="s">
        <v>767</v>
      </c>
      <c r="D515" s="145">
        <v>635311911</v>
      </c>
      <c r="E515" s="42" t="s">
        <v>256</v>
      </c>
      <c r="F515" s="84">
        <v>35958</v>
      </c>
      <c r="G515" s="108" t="str">
        <f>CHOOSE(MONTH(F515),"Jan","Feb","Mar","Apr","May","Jun","Jul","Aug","Sep","Oct","Nov","Dec")</f>
        <v>Jun</v>
      </c>
      <c r="H515" s="54">
        <f ca="1">DATEDIF(F515,TODAY(),"Y")</f>
        <v>18</v>
      </c>
      <c r="I515" s="55" t="s">
        <v>283</v>
      </c>
      <c r="J515" s="56">
        <v>61420</v>
      </c>
      <c r="K515" s="57">
        <v>4</v>
      </c>
    </row>
    <row r="516" spans="1:11" x14ac:dyDescent="0.25">
      <c r="A516" s="42" t="s">
        <v>820</v>
      </c>
      <c r="B516" s="49" t="s">
        <v>285</v>
      </c>
      <c r="C516" s="42" t="s">
        <v>767</v>
      </c>
      <c r="D516" s="145">
        <v>969890063</v>
      </c>
      <c r="E516" s="42" t="s">
        <v>252</v>
      </c>
      <c r="F516" s="84">
        <v>36340</v>
      </c>
      <c r="G516" s="108" t="str">
        <f>CHOOSE(MONTH(F516),"Jan","Feb","Mar","Apr","May","Jun","Jul","Aug","Sep","Oct","Nov","Dec")</f>
        <v>Jun</v>
      </c>
      <c r="H516" s="54">
        <f ca="1">DATEDIF(F516,TODAY(),"Y")</f>
        <v>17</v>
      </c>
      <c r="I516" s="55"/>
      <c r="J516" s="56">
        <v>37016</v>
      </c>
      <c r="K516" s="57">
        <v>4</v>
      </c>
    </row>
    <row r="517" spans="1:11" x14ac:dyDescent="0.25">
      <c r="A517" s="42" t="s">
        <v>819</v>
      </c>
      <c r="B517" s="49" t="s">
        <v>271</v>
      </c>
      <c r="C517" s="42" t="s">
        <v>767</v>
      </c>
      <c r="D517" s="145">
        <v>149369079</v>
      </c>
      <c r="E517" s="42" t="s">
        <v>256</v>
      </c>
      <c r="F517" s="84">
        <v>34169</v>
      </c>
      <c r="G517" s="108" t="str">
        <f>CHOOSE(MONTH(F517),"Jan","Feb","Mar","Apr","May","Jun","Jul","Aug","Sep","Oct","Nov","Dec")</f>
        <v>Jul</v>
      </c>
      <c r="H517" s="54">
        <f ca="1">DATEDIF(F517,TODAY(),"Y")</f>
        <v>23</v>
      </c>
      <c r="I517" s="55" t="s">
        <v>267</v>
      </c>
      <c r="J517" s="56">
        <v>69420</v>
      </c>
      <c r="K517" s="57">
        <v>2</v>
      </c>
    </row>
    <row r="518" spans="1:11" x14ac:dyDescent="0.25">
      <c r="A518" s="42" t="s">
        <v>805</v>
      </c>
      <c r="B518" s="49" t="s">
        <v>285</v>
      </c>
      <c r="C518" s="42" t="s">
        <v>767</v>
      </c>
      <c r="D518" s="145">
        <v>795407799</v>
      </c>
      <c r="E518" s="42" t="s">
        <v>256</v>
      </c>
      <c r="F518" s="84">
        <v>35616</v>
      </c>
      <c r="G518" s="108" t="str">
        <f>CHOOSE(MONTH(F518),"Jan","Feb","Mar","Apr","May","Jun","Jul","Aug","Sep","Oct","Nov","Dec")</f>
        <v>Jul</v>
      </c>
      <c r="H518" s="54">
        <f ca="1">DATEDIF(F518,TODAY(),"Y")</f>
        <v>19</v>
      </c>
      <c r="I518" s="55" t="s">
        <v>283</v>
      </c>
      <c r="J518" s="56">
        <v>34060</v>
      </c>
      <c r="K518" s="57">
        <v>2</v>
      </c>
    </row>
    <row r="519" spans="1:11" x14ac:dyDescent="0.25">
      <c r="A519" s="42" t="s">
        <v>828</v>
      </c>
      <c r="B519" s="49" t="s">
        <v>271</v>
      </c>
      <c r="C519" s="42" t="s">
        <v>767</v>
      </c>
      <c r="D519" s="145">
        <v>127900790</v>
      </c>
      <c r="E519" s="42" t="s">
        <v>256</v>
      </c>
      <c r="F519" s="84">
        <v>35990</v>
      </c>
      <c r="G519" s="108" t="str">
        <f>CHOOSE(MONTH(F519),"Jan","Feb","Mar","Apr","May","Jun","Jul","Aug","Sep","Oct","Nov","Dec")</f>
        <v>Jul</v>
      </c>
      <c r="H519" s="54">
        <f ca="1">DATEDIF(F519,TODAY(),"Y")</f>
        <v>18</v>
      </c>
      <c r="I519" s="55" t="s">
        <v>276</v>
      </c>
      <c r="J519" s="56">
        <v>36890</v>
      </c>
      <c r="K519" s="57">
        <v>1</v>
      </c>
    </row>
    <row r="520" spans="1:11" x14ac:dyDescent="0.25">
      <c r="A520" s="42" t="s">
        <v>833</v>
      </c>
      <c r="B520" s="49" t="s">
        <v>285</v>
      </c>
      <c r="C520" s="42" t="s">
        <v>767</v>
      </c>
      <c r="D520" s="145">
        <v>664132048</v>
      </c>
      <c r="E520" s="42" t="s">
        <v>261</v>
      </c>
      <c r="F520" s="111">
        <v>38173</v>
      </c>
      <c r="G520" s="108" t="str">
        <f>CHOOSE(MONTH(F520),"Jan","Feb","Mar","Apr","May","Jun","Jul","Aug","Sep","Oct","Nov","Dec")</f>
        <v>Jul</v>
      </c>
      <c r="H520" s="54">
        <f ca="1">DATEDIF(F520,TODAY(),"Y")</f>
        <v>12</v>
      </c>
      <c r="I520" s="55" t="s">
        <v>283</v>
      </c>
      <c r="J520" s="56">
        <v>32900</v>
      </c>
      <c r="K520" s="57">
        <v>2</v>
      </c>
    </row>
    <row r="521" spans="1:11" x14ac:dyDescent="0.25">
      <c r="A521" s="42" t="s">
        <v>847</v>
      </c>
      <c r="B521" s="49" t="s">
        <v>271</v>
      </c>
      <c r="C521" s="42" t="s">
        <v>767</v>
      </c>
      <c r="D521" s="145">
        <v>115508570</v>
      </c>
      <c r="E521" s="42" t="s">
        <v>256</v>
      </c>
      <c r="F521" s="84">
        <v>33098</v>
      </c>
      <c r="G521" s="108" t="str">
        <f>CHOOSE(MONTH(F521),"Jan","Feb","Mar","Apr","May","Jun","Jul","Aug","Sep","Oct","Nov","Dec")</f>
        <v>Aug</v>
      </c>
      <c r="H521" s="54">
        <f ca="1">DATEDIF(F521,TODAY(),"Y")</f>
        <v>26</v>
      </c>
      <c r="I521" s="55" t="s">
        <v>257</v>
      </c>
      <c r="J521" s="56">
        <v>48080</v>
      </c>
      <c r="K521" s="57">
        <v>2</v>
      </c>
    </row>
    <row r="522" spans="1:11" x14ac:dyDescent="0.25">
      <c r="A522" s="42" t="s">
        <v>852</v>
      </c>
      <c r="B522" s="49" t="s">
        <v>271</v>
      </c>
      <c r="C522" s="42" t="s">
        <v>767</v>
      </c>
      <c r="D522" s="145">
        <v>300145210</v>
      </c>
      <c r="E522" s="42" t="s">
        <v>256</v>
      </c>
      <c r="F522" s="84">
        <v>33460</v>
      </c>
      <c r="G522" s="108" t="str">
        <f>CHOOSE(MONTH(F522),"Jan","Feb","Mar","Apr","May","Jun","Jul","Aug","Sep","Oct","Nov","Dec")</f>
        <v>Aug</v>
      </c>
      <c r="H522" s="54">
        <f ca="1">DATEDIF(F522,TODAY(),"Y")</f>
        <v>25</v>
      </c>
      <c r="I522" s="55" t="s">
        <v>267</v>
      </c>
      <c r="J522" s="56">
        <v>77740</v>
      </c>
      <c r="K522" s="57">
        <v>1</v>
      </c>
    </row>
    <row r="523" spans="1:11" x14ac:dyDescent="0.25">
      <c r="A523" s="42" t="s">
        <v>802</v>
      </c>
      <c r="B523" s="49" t="s">
        <v>280</v>
      </c>
      <c r="C523" s="42" t="s">
        <v>767</v>
      </c>
      <c r="D523" s="145">
        <v>404037729</v>
      </c>
      <c r="E523" s="42" t="s">
        <v>247</v>
      </c>
      <c r="F523" s="84">
        <v>34915</v>
      </c>
      <c r="G523" s="108" t="str">
        <f>CHOOSE(MONTH(F523),"Jan","Feb","Mar","Apr","May","Jun","Jul","Aug","Sep","Oct","Nov","Dec")</f>
        <v>Aug</v>
      </c>
      <c r="H523" s="54">
        <f ca="1">DATEDIF(F523,TODAY(),"Y")</f>
        <v>21</v>
      </c>
      <c r="I523" s="55"/>
      <c r="J523" s="56">
        <v>76870</v>
      </c>
      <c r="K523" s="57">
        <v>5</v>
      </c>
    </row>
    <row r="524" spans="1:11" x14ac:dyDescent="0.25">
      <c r="A524" s="42" t="s">
        <v>829</v>
      </c>
      <c r="B524" s="49" t="s">
        <v>245</v>
      </c>
      <c r="C524" s="42" t="s">
        <v>767</v>
      </c>
      <c r="D524" s="145">
        <v>593629633</v>
      </c>
      <c r="E524" s="42" t="s">
        <v>256</v>
      </c>
      <c r="F524" s="84">
        <v>35286</v>
      </c>
      <c r="G524" s="108" t="str">
        <f>CHOOSE(MONTH(F524),"Jan","Feb","Mar","Apr","May","Jun","Jul","Aug","Sep","Oct","Nov","Dec")</f>
        <v>Aug</v>
      </c>
      <c r="H524" s="54">
        <f ca="1">DATEDIF(F524,TODAY(),"Y")</f>
        <v>20</v>
      </c>
      <c r="I524" s="55" t="s">
        <v>262</v>
      </c>
      <c r="J524" s="56">
        <v>72700</v>
      </c>
      <c r="K524" s="57">
        <v>5</v>
      </c>
    </row>
    <row r="525" spans="1:11" x14ac:dyDescent="0.25">
      <c r="A525" s="42" t="s">
        <v>824</v>
      </c>
      <c r="B525" s="49" t="s">
        <v>285</v>
      </c>
      <c r="C525" s="42" t="s">
        <v>767</v>
      </c>
      <c r="D525" s="145">
        <v>122002550</v>
      </c>
      <c r="E525" s="42" t="s">
        <v>247</v>
      </c>
      <c r="F525" s="84">
        <v>35301</v>
      </c>
      <c r="G525" s="108" t="str">
        <f>CHOOSE(MONTH(F525),"Jan","Feb","Mar","Apr","May","Jun","Jul","Aug","Sep","Oct","Nov","Dec")</f>
        <v>Aug</v>
      </c>
      <c r="H525" s="54">
        <f ca="1">DATEDIF(F525,TODAY(),"Y")</f>
        <v>20</v>
      </c>
      <c r="I525" s="55"/>
      <c r="J525" s="56">
        <v>60070</v>
      </c>
      <c r="K525" s="57">
        <v>2</v>
      </c>
    </row>
    <row r="526" spans="1:11" x14ac:dyDescent="0.25">
      <c r="A526" s="42" t="s">
        <v>768</v>
      </c>
      <c r="B526" s="49" t="s">
        <v>285</v>
      </c>
      <c r="C526" s="42" t="s">
        <v>767</v>
      </c>
      <c r="D526" s="145">
        <v>151309164</v>
      </c>
      <c r="E526" s="42" t="s">
        <v>252</v>
      </c>
      <c r="F526" s="84">
        <v>36028</v>
      </c>
      <c r="G526" s="108" t="str">
        <f>CHOOSE(MONTH(F526),"Jan","Feb","Mar","Apr","May","Jun","Jul","Aug","Sep","Oct","Nov","Dec")</f>
        <v>Aug</v>
      </c>
      <c r="H526" s="54">
        <f ca="1">DATEDIF(F526,TODAY(),"Y")</f>
        <v>18</v>
      </c>
      <c r="I526" s="55"/>
      <c r="J526" s="56">
        <v>16688</v>
      </c>
      <c r="K526" s="57">
        <v>3</v>
      </c>
    </row>
    <row r="527" spans="1:11" x14ac:dyDescent="0.25">
      <c r="A527" s="42" t="s">
        <v>766</v>
      </c>
      <c r="B527" s="49" t="s">
        <v>266</v>
      </c>
      <c r="C527" s="42" t="s">
        <v>767</v>
      </c>
      <c r="D527" s="145">
        <v>157620143</v>
      </c>
      <c r="E527" s="42" t="s">
        <v>247</v>
      </c>
      <c r="F527" s="84">
        <v>36375</v>
      </c>
      <c r="G527" s="108" t="str">
        <f>CHOOSE(MONTH(F527),"Jan","Feb","Mar","Apr","May","Jun","Jul","Aug","Sep","Oct","Nov","Dec")</f>
        <v>Aug</v>
      </c>
      <c r="H527" s="54">
        <f ca="1">DATEDIF(F527,TODAY(),"Y")</f>
        <v>17</v>
      </c>
      <c r="I527" s="55"/>
      <c r="J527" s="56">
        <v>71300</v>
      </c>
      <c r="K527" s="57">
        <v>5</v>
      </c>
    </row>
    <row r="528" spans="1:11" x14ac:dyDescent="0.25">
      <c r="A528" s="42" t="s">
        <v>812</v>
      </c>
      <c r="B528" s="49" t="s">
        <v>271</v>
      </c>
      <c r="C528" s="42" t="s">
        <v>767</v>
      </c>
      <c r="D528" s="145">
        <v>546895685</v>
      </c>
      <c r="E528" s="42" t="s">
        <v>252</v>
      </c>
      <c r="F528" s="84">
        <v>36380</v>
      </c>
      <c r="G528" s="108" t="str">
        <f>CHOOSE(MONTH(F528),"Jan","Feb","Mar","Apr","May","Jun","Jul","Aug","Sep","Oct","Nov","Dec")</f>
        <v>Aug</v>
      </c>
      <c r="H528" s="54">
        <f ca="1">DATEDIF(F528,TODAY(),"Y")</f>
        <v>17</v>
      </c>
      <c r="I528" s="55"/>
      <c r="J528" s="56">
        <v>36052</v>
      </c>
      <c r="K528" s="57">
        <v>5</v>
      </c>
    </row>
    <row r="529" spans="1:11" x14ac:dyDescent="0.25">
      <c r="A529" s="42" t="s">
        <v>842</v>
      </c>
      <c r="B529" s="49" t="s">
        <v>271</v>
      </c>
      <c r="C529" s="42" t="s">
        <v>767</v>
      </c>
      <c r="D529" s="145">
        <v>745258163</v>
      </c>
      <c r="E529" s="42" t="s">
        <v>256</v>
      </c>
      <c r="F529" s="84">
        <v>36393</v>
      </c>
      <c r="G529" s="108" t="str">
        <f>CHOOSE(MONTH(F529),"Jan","Feb","Mar","Apr","May","Jun","Jul","Aug","Sep","Oct","Nov","Dec")</f>
        <v>Aug</v>
      </c>
      <c r="H529" s="54">
        <f ca="1">DATEDIF(F529,TODAY(),"Y")</f>
        <v>17</v>
      </c>
      <c r="I529" s="55" t="s">
        <v>283</v>
      </c>
      <c r="J529" s="56">
        <v>65910</v>
      </c>
      <c r="K529" s="57">
        <v>5</v>
      </c>
    </row>
    <row r="530" spans="1:11" x14ac:dyDescent="0.25">
      <c r="A530" s="42" t="s">
        <v>821</v>
      </c>
      <c r="B530" s="49" t="s">
        <v>280</v>
      </c>
      <c r="C530" s="42" t="s">
        <v>767</v>
      </c>
      <c r="D530" s="145">
        <v>375712687</v>
      </c>
      <c r="E530" s="42" t="s">
        <v>256</v>
      </c>
      <c r="F530" s="84">
        <v>37848</v>
      </c>
      <c r="G530" s="108" t="str">
        <f>CHOOSE(MONTH(F530),"Jan","Feb","Mar","Apr","May","Jun","Jul","Aug","Sep","Oct","Nov","Dec")</f>
        <v>Aug</v>
      </c>
      <c r="H530" s="54">
        <f ca="1">DATEDIF(F530,TODAY(),"Y")</f>
        <v>13</v>
      </c>
      <c r="I530" s="55" t="s">
        <v>262</v>
      </c>
      <c r="J530" s="56">
        <v>76910</v>
      </c>
      <c r="K530" s="57">
        <v>2</v>
      </c>
    </row>
    <row r="531" spans="1:11" x14ac:dyDescent="0.25">
      <c r="A531" s="42" t="s">
        <v>851</v>
      </c>
      <c r="B531" s="49" t="s">
        <v>271</v>
      </c>
      <c r="C531" s="42" t="s">
        <v>767</v>
      </c>
      <c r="D531" s="145">
        <v>528102735</v>
      </c>
      <c r="E531" s="42" t="s">
        <v>247</v>
      </c>
      <c r="F531" s="106">
        <v>40404</v>
      </c>
      <c r="G531" s="108" t="str">
        <f>CHOOSE(MONTH(F531),"Jan","Feb","Mar","Apr","May","Jun","Jul","Aug","Sep","Oct","Nov","Dec")</f>
        <v>Aug</v>
      </c>
      <c r="H531" s="54">
        <f ca="1">DATEDIF(F531,TODAY(),"Y")</f>
        <v>6</v>
      </c>
      <c r="I531" s="55"/>
      <c r="J531" s="56">
        <v>39550</v>
      </c>
      <c r="K531" s="57">
        <v>5</v>
      </c>
    </row>
    <row r="532" spans="1:11" x14ac:dyDescent="0.25">
      <c r="A532" s="42" t="s">
        <v>781</v>
      </c>
      <c r="B532" s="49" t="s">
        <v>245</v>
      </c>
      <c r="C532" s="42" t="s">
        <v>767</v>
      </c>
      <c r="D532" s="145">
        <v>126141931</v>
      </c>
      <c r="E532" s="42" t="s">
        <v>247</v>
      </c>
      <c r="F532" s="106">
        <v>40410</v>
      </c>
      <c r="G532" s="108" t="str">
        <f>CHOOSE(MONTH(F532),"Jan","Feb","Mar","Apr","May","Jun","Jul","Aug","Sep","Oct","Nov","Dec")</f>
        <v>Aug</v>
      </c>
      <c r="H532" s="54">
        <f ca="1">DATEDIF(F532,TODAY(),"Y")</f>
        <v>6</v>
      </c>
      <c r="I532" s="55"/>
      <c r="J532" s="56">
        <v>57680</v>
      </c>
      <c r="K532" s="57">
        <v>4</v>
      </c>
    </row>
    <row r="533" spans="1:11" x14ac:dyDescent="0.25">
      <c r="A533" s="42" t="s">
        <v>846</v>
      </c>
      <c r="B533" s="49" t="s">
        <v>245</v>
      </c>
      <c r="C533" s="42" t="s">
        <v>767</v>
      </c>
      <c r="D533" s="145">
        <v>849729323</v>
      </c>
      <c r="E533" s="42" t="s">
        <v>261</v>
      </c>
      <c r="F533" s="106">
        <v>40421</v>
      </c>
      <c r="G533" s="108" t="str">
        <f>CHOOSE(MONTH(F533),"Jan","Feb","Mar","Apr","May","Jun","Jul","Aug","Sep","Oct","Nov","Dec")</f>
        <v>Aug</v>
      </c>
      <c r="H533" s="54">
        <f ca="1">DATEDIF(F533,TODAY(),"Y")</f>
        <v>6</v>
      </c>
      <c r="I533" s="55" t="s">
        <v>262</v>
      </c>
      <c r="J533" s="56">
        <v>49355</v>
      </c>
      <c r="K533" s="57">
        <v>5</v>
      </c>
    </row>
    <row r="534" spans="1:11" x14ac:dyDescent="0.25">
      <c r="A534" s="42" t="s">
        <v>791</v>
      </c>
      <c r="B534" s="49" t="s">
        <v>285</v>
      </c>
      <c r="C534" s="42" t="s">
        <v>767</v>
      </c>
      <c r="D534" s="145">
        <v>801783093</v>
      </c>
      <c r="E534" s="42" t="s">
        <v>256</v>
      </c>
      <c r="F534" s="84">
        <v>33128</v>
      </c>
      <c r="G534" s="108" t="str">
        <f>CHOOSE(MONTH(F534),"Jan","Feb","Mar","Apr","May","Jun","Jul","Aug","Sep","Oct","Nov","Dec")</f>
        <v>Sep</v>
      </c>
      <c r="H534" s="54">
        <f ca="1">DATEDIF(F534,TODAY(),"Y")</f>
        <v>26</v>
      </c>
      <c r="I534" s="55" t="s">
        <v>267</v>
      </c>
      <c r="J534" s="56">
        <v>46110</v>
      </c>
      <c r="K534" s="57">
        <v>4</v>
      </c>
    </row>
    <row r="535" spans="1:11" x14ac:dyDescent="0.25">
      <c r="A535" s="42" t="s">
        <v>796</v>
      </c>
      <c r="B535" s="49" t="s">
        <v>271</v>
      </c>
      <c r="C535" s="42" t="s">
        <v>767</v>
      </c>
      <c r="D535" s="145">
        <v>684697545</v>
      </c>
      <c r="E535" s="42" t="s">
        <v>256</v>
      </c>
      <c r="F535" s="84">
        <v>33510</v>
      </c>
      <c r="G535" s="108" t="str">
        <f>CHOOSE(MONTH(F535),"Jan","Feb","Mar","Apr","May","Jun","Jul","Aug","Sep","Oct","Nov","Dec")</f>
        <v>Sep</v>
      </c>
      <c r="H535" s="54">
        <f ca="1">DATEDIF(F535,TODAY(),"Y")</f>
        <v>25</v>
      </c>
      <c r="I535" s="55" t="s">
        <v>262</v>
      </c>
      <c r="J535" s="56">
        <v>54500</v>
      </c>
      <c r="K535" s="57">
        <v>5</v>
      </c>
    </row>
    <row r="536" spans="1:11" x14ac:dyDescent="0.25">
      <c r="A536" s="42" t="s">
        <v>771</v>
      </c>
      <c r="B536" s="49" t="s">
        <v>271</v>
      </c>
      <c r="C536" s="42" t="s">
        <v>767</v>
      </c>
      <c r="D536" s="145">
        <v>197889500</v>
      </c>
      <c r="E536" s="42" t="s">
        <v>256</v>
      </c>
      <c r="F536" s="84">
        <v>34222</v>
      </c>
      <c r="G536" s="108" t="str">
        <f>CHOOSE(MONTH(F536),"Jan","Feb","Mar","Apr","May","Jun","Jul","Aug","Sep","Oct","Nov","Dec")</f>
        <v>Sep</v>
      </c>
      <c r="H536" s="54">
        <f ca="1">DATEDIF(F536,TODAY(),"Y")</f>
        <v>23</v>
      </c>
      <c r="I536" s="55" t="s">
        <v>257</v>
      </c>
      <c r="J536" s="56">
        <v>62688</v>
      </c>
      <c r="K536" s="57">
        <v>2</v>
      </c>
    </row>
    <row r="537" spans="1:11" x14ac:dyDescent="0.25">
      <c r="A537" s="42" t="s">
        <v>795</v>
      </c>
      <c r="B537" s="49" t="s">
        <v>285</v>
      </c>
      <c r="C537" s="42" t="s">
        <v>767</v>
      </c>
      <c r="D537" s="145">
        <v>817902579</v>
      </c>
      <c r="E537" s="42" t="s">
        <v>256</v>
      </c>
      <c r="F537" s="84">
        <v>35693</v>
      </c>
      <c r="G537" s="108" t="str">
        <f>CHOOSE(MONTH(F537),"Jan","Feb","Mar","Apr","May","Jun","Jul","Aug","Sep","Oct","Nov","Dec")</f>
        <v>Sep</v>
      </c>
      <c r="H537" s="54">
        <f ca="1">DATEDIF(F537,TODAY(),"Y")</f>
        <v>19</v>
      </c>
      <c r="I537" s="55" t="s">
        <v>262</v>
      </c>
      <c r="J537" s="56">
        <v>24340</v>
      </c>
      <c r="K537" s="57">
        <v>4</v>
      </c>
    </row>
    <row r="538" spans="1:11" x14ac:dyDescent="0.25">
      <c r="A538" s="42" t="s">
        <v>783</v>
      </c>
      <c r="B538" s="49" t="s">
        <v>251</v>
      </c>
      <c r="C538" s="42" t="s">
        <v>767</v>
      </c>
      <c r="D538" s="145">
        <v>967794505</v>
      </c>
      <c r="E538" s="42" t="s">
        <v>247</v>
      </c>
      <c r="F538" s="84">
        <v>35699</v>
      </c>
      <c r="G538" s="108" t="str">
        <f>CHOOSE(MONTH(F538),"Jan","Feb","Mar","Apr","May","Jun","Jul","Aug","Sep","Oct","Nov","Dec")</f>
        <v>Sep</v>
      </c>
      <c r="H538" s="54">
        <f ca="1">DATEDIF(F538,TODAY(),"Y")</f>
        <v>19</v>
      </c>
      <c r="I538" s="55"/>
      <c r="J538" s="56">
        <v>36230</v>
      </c>
      <c r="K538" s="57">
        <v>2</v>
      </c>
    </row>
    <row r="539" spans="1:11" x14ac:dyDescent="0.25">
      <c r="A539" s="42" t="s">
        <v>780</v>
      </c>
      <c r="B539" s="49" t="s">
        <v>285</v>
      </c>
      <c r="C539" s="42" t="s">
        <v>767</v>
      </c>
      <c r="D539" s="145">
        <v>787445819</v>
      </c>
      <c r="E539" s="42" t="s">
        <v>247</v>
      </c>
      <c r="F539" s="84">
        <v>36787</v>
      </c>
      <c r="G539" s="108" t="str">
        <f>CHOOSE(MONTH(F539),"Jan","Feb","Mar","Apr","May","Jun","Jul","Aug","Sep","Oct","Nov","Dec")</f>
        <v>Sep</v>
      </c>
      <c r="H539" s="54">
        <f ca="1">DATEDIF(F539,TODAY(),"Y")</f>
        <v>16</v>
      </c>
      <c r="I539" s="55"/>
      <c r="J539" s="56">
        <v>89640</v>
      </c>
      <c r="K539" s="57">
        <v>4</v>
      </c>
    </row>
    <row r="540" spans="1:11" x14ac:dyDescent="0.25">
      <c r="A540" s="42" t="s">
        <v>853</v>
      </c>
      <c r="B540" s="49" t="s">
        <v>271</v>
      </c>
      <c r="C540" s="42" t="s">
        <v>767</v>
      </c>
      <c r="D540" s="145">
        <v>111813636</v>
      </c>
      <c r="E540" s="42" t="s">
        <v>256</v>
      </c>
      <c r="F540" s="84">
        <v>37138</v>
      </c>
      <c r="G540" s="108" t="str">
        <f>CHOOSE(MONTH(F540),"Jan","Feb","Mar","Apr","May","Jun","Jul","Aug","Sep","Oct","Nov","Dec")</f>
        <v>Sep</v>
      </c>
      <c r="H540" s="54">
        <f ca="1">DATEDIF(F540,TODAY(),"Y")</f>
        <v>15</v>
      </c>
      <c r="I540" s="55" t="s">
        <v>257</v>
      </c>
      <c r="J540" s="56">
        <v>29130</v>
      </c>
      <c r="K540" s="57">
        <v>1</v>
      </c>
    </row>
    <row r="541" spans="1:11" x14ac:dyDescent="0.25">
      <c r="A541" s="42" t="s">
        <v>825</v>
      </c>
      <c r="B541" s="49" t="s">
        <v>285</v>
      </c>
      <c r="C541" s="42" t="s">
        <v>767</v>
      </c>
      <c r="D541" s="145">
        <v>847181606</v>
      </c>
      <c r="E541" s="42" t="s">
        <v>247</v>
      </c>
      <c r="F541" s="84">
        <v>37526</v>
      </c>
      <c r="G541" s="108" t="str">
        <f>CHOOSE(MONTH(F541),"Jan","Feb","Mar","Apr","May","Jun","Jul","Aug","Sep","Oct","Nov","Dec")</f>
        <v>Sep</v>
      </c>
      <c r="H541" s="54">
        <f ca="1">DATEDIF(F541,TODAY(),"Y")</f>
        <v>14</v>
      </c>
      <c r="I541" s="55"/>
      <c r="J541" s="56">
        <v>61580</v>
      </c>
      <c r="K541" s="57">
        <v>3</v>
      </c>
    </row>
    <row r="542" spans="1:11" x14ac:dyDescent="0.25">
      <c r="A542" s="42" t="s">
        <v>788</v>
      </c>
      <c r="B542" s="49" t="s">
        <v>285</v>
      </c>
      <c r="C542" s="42" t="s">
        <v>767</v>
      </c>
      <c r="D542" s="145">
        <v>824856551</v>
      </c>
      <c r="E542" s="42" t="s">
        <v>256</v>
      </c>
      <c r="F542" s="84">
        <v>40438</v>
      </c>
      <c r="G542" s="108" t="str">
        <f>CHOOSE(MONTH(F542),"Jan","Feb","Mar","Apr","May","Jun","Jul","Aug","Sep","Oct","Nov","Dec")</f>
        <v>Sep</v>
      </c>
      <c r="H542" s="54">
        <f ca="1">DATEDIF(F542,TODAY(),"Y")</f>
        <v>6</v>
      </c>
      <c r="I542" s="55" t="s">
        <v>267</v>
      </c>
      <c r="J542" s="56">
        <v>59150</v>
      </c>
      <c r="K542" s="57">
        <v>4</v>
      </c>
    </row>
    <row r="543" spans="1:11" x14ac:dyDescent="0.25">
      <c r="A543" s="42" t="s">
        <v>845</v>
      </c>
      <c r="B543" s="49" t="s">
        <v>245</v>
      </c>
      <c r="C543" s="42" t="s">
        <v>767</v>
      </c>
      <c r="D543" s="145">
        <v>972427722</v>
      </c>
      <c r="E543" s="42" t="s">
        <v>247</v>
      </c>
      <c r="F543" s="84">
        <v>33167</v>
      </c>
      <c r="G543" s="108" t="str">
        <f>CHOOSE(MONTH(F543),"Jan","Feb","Mar","Apr","May","Jun","Jul","Aug","Sep","Oct","Nov","Dec")</f>
        <v>Oct</v>
      </c>
      <c r="H543" s="54">
        <f ca="1">DATEDIF(F543,TODAY(),"Y")</f>
        <v>26</v>
      </c>
      <c r="I543" s="55"/>
      <c r="J543" s="56">
        <v>23020</v>
      </c>
      <c r="K543" s="57">
        <v>4</v>
      </c>
    </row>
    <row r="544" spans="1:11" x14ac:dyDescent="0.25">
      <c r="A544" s="42" t="s">
        <v>823</v>
      </c>
      <c r="B544" s="49" t="s">
        <v>271</v>
      </c>
      <c r="C544" s="42" t="s">
        <v>767</v>
      </c>
      <c r="D544" s="145">
        <v>827107697</v>
      </c>
      <c r="E544" s="42" t="s">
        <v>247</v>
      </c>
      <c r="F544" s="84">
        <v>33515</v>
      </c>
      <c r="G544" s="108" t="str">
        <f>CHOOSE(MONTH(F544),"Jan","Feb","Mar","Apr","May","Jun","Jul","Aug","Sep","Oct","Nov","Dec")</f>
        <v>Oct</v>
      </c>
      <c r="H544" s="54">
        <f ca="1">DATEDIF(F544,TODAY(),"Y")</f>
        <v>25</v>
      </c>
      <c r="I544" s="55"/>
      <c r="J544" s="56">
        <v>52750</v>
      </c>
      <c r="K544" s="57">
        <v>1</v>
      </c>
    </row>
    <row r="545" spans="1:16" x14ac:dyDescent="0.25">
      <c r="A545" s="42" t="s">
        <v>808</v>
      </c>
      <c r="B545" s="49" t="s">
        <v>271</v>
      </c>
      <c r="C545" s="42" t="s">
        <v>767</v>
      </c>
      <c r="D545" s="145">
        <v>476689522</v>
      </c>
      <c r="E545" s="42" t="s">
        <v>256</v>
      </c>
      <c r="F545" s="84">
        <v>33526</v>
      </c>
      <c r="G545" s="108" t="str">
        <f>CHOOSE(MONTH(F545),"Jan","Feb","Mar","Apr","May","Jun","Jul","Aug","Sep","Oct","Nov","Dec")</f>
        <v>Oct</v>
      </c>
      <c r="H545" s="54">
        <f ca="1">DATEDIF(F545,TODAY(),"Y")</f>
        <v>25</v>
      </c>
      <c r="I545" s="55" t="s">
        <v>267</v>
      </c>
      <c r="J545" s="56">
        <v>79400</v>
      </c>
      <c r="K545" s="57">
        <v>4</v>
      </c>
    </row>
    <row r="546" spans="1:16" x14ac:dyDescent="0.25">
      <c r="A546" s="42" t="s">
        <v>813</v>
      </c>
      <c r="B546" s="49" t="s">
        <v>245</v>
      </c>
      <c r="C546" s="42" t="s">
        <v>767</v>
      </c>
      <c r="D546" s="145">
        <v>248979703</v>
      </c>
      <c r="E546" s="42" t="s">
        <v>256</v>
      </c>
      <c r="F546" s="84">
        <v>34989</v>
      </c>
      <c r="G546" s="108" t="str">
        <f>CHOOSE(MONTH(F546),"Jan","Feb","Mar","Apr","May","Jun","Jul","Aug","Sep","Oct","Nov","Dec")</f>
        <v>Oct</v>
      </c>
      <c r="H546" s="54">
        <f ca="1">DATEDIF(F546,TODAY(),"Y")</f>
        <v>21</v>
      </c>
      <c r="I546" s="55" t="s">
        <v>257</v>
      </c>
      <c r="J546" s="56">
        <v>50570</v>
      </c>
      <c r="K546" s="57">
        <v>4</v>
      </c>
    </row>
    <row r="547" spans="1:16" x14ac:dyDescent="0.25">
      <c r="A547" s="42" t="s">
        <v>784</v>
      </c>
      <c r="B547" s="49" t="s">
        <v>285</v>
      </c>
      <c r="C547" s="42" t="s">
        <v>767</v>
      </c>
      <c r="D547" s="145">
        <v>597173242</v>
      </c>
      <c r="E547" s="42" t="s">
        <v>261</v>
      </c>
      <c r="F547" s="84">
        <v>36084</v>
      </c>
      <c r="G547" s="108" t="str">
        <f>CHOOSE(MONTH(F547),"Jan","Feb","Mar","Apr","May","Jun","Jul","Aug","Sep","Oct","Nov","Dec")</f>
        <v>Oct</v>
      </c>
      <c r="H547" s="54">
        <f ca="1">DATEDIF(F547,TODAY(),"Y")</f>
        <v>18</v>
      </c>
      <c r="I547" s="55" t="s">
        <v>262</v>
      </c>
      <c r="J547" s="56">
        <v>45750</v>
      </c>
      <c r="K547" s="57">
        <v>5</v>
      </c>
    </row>
    <row r="548" spans="1:16" x14ac:dyDescent="0.25">
      <c r="A548" s="42" t="s">
        <v>776</v>
      </c>
      <c r="B548" s="49" t="s">
        <v>245</v>
      </c>
      <c r="C548" s="42" t="s">
        <v>767</v>
      </c>
      <c r="D548" s="145">
        <v>496230913</v>
      </c>
      <c r="E548" s="42" t="s">
        <v>247</v>
      </c>
      <c r="F548" s="84">
        <v>36086</v>
      </c>
      <c r="G548" s="108" t="str">
        <f>CHOOSE(MONTH(F548),"Jan","Feb","Mar","Apr","May","Jun","Jul","Aug","Sep","Oct","Nov","Dec")</f>
        <v>Oct</v>
      </c>
      <c r="H548" s="54">
        <f ca="1">DATEDIF(F548,TODAY(),"Y")</f>
        <v>18</v>
      </c>
      <c r="I548" s="55"/>
      <c r="J548" s="56">
        <v>47520</v>
      </c>
      <c r="K548" s="57">
        <v>1</v>
      </c>
    </row>
    <row r="549" spans="1:16" x14ac:dyDescent="0.25">
      <c r="A549" s="42" t="s">
        <v>826</v>
      </c>
      <c r="B549" s="49" t="s">
        <v>271</v>
      </c>
      <c r="C549" s="42" t="s">
        <v>767</v>
      </c>
      <c r="D549" s="145">
        <v>195855972</v>
      </c>
      <c r="E549" s="42" t="s">
        <v>256</v>
      </c>
      <c r="F549" s="84">
        <v>36088</v>
      </c>
      <c r="G549" s="108" t="str">
        <f>CHOOSE(MONTH(F549),"Jan","Feb","Mar","Apr","May","Jun","Jul","Aug","Sep","Oct","Nov","Dec")</f>
        <v>Oct</v>
      </c>
      <c r="H549" s="54">
        <f ca="1">DATEDIF(F549,TODAY(),"Y")</f>
        <v>18</v>
      </c>
      <c r="I549" s="55" t="s">
        <v>267</v>
      </c>
      <c r="J549" s="56">
        <v>54580</v>
      </c>
      <c r="K549" s="57">
        <v>4</v>
      </c>
    </row>
    <row r="550" spans="1:16" x14ac:dyDescent="0.25">
      <c r="A550" s="42" t="s">
        <v>836</v>
      </c>
      <c r="B550" s="49" t="s">
        <v>285</v>
      </c>
      <c r="C550" s="42" t="s">
        <v>767</v>
      </c>
      <c r="D550" s="145">
        <v>202630639</v>
      </c>
      <c r="E550" s="42" t="s">
        <v>256</v>
      </c>
      <c r="F550" s="84">
        <v>39362</v>
      </c>
      <c r="G550" s="108" t="str">
        <f>CHOOSE(MONTH(F550),"Jan","Feb","Mar","Apr","May","Jun","Jul","Aug","Sep","Oct","Nov","Dec")</f>
        <v>Oct</v>
      </c>
      <c r="H550" s="54">
        <f ca="1">DATEDIF(F550,TODAY(),"Y")</f>
        <v>9</v>
      </c>
      <c r="I550" s="55" t="s">
        <v>262</v>
      </c>
      <c r="J550" s="56">
        <v>42020</v>
      </c>
      <c r="K550" s="57">
        <v>5</v>
      </c>
    </row>
    <row r="551" spans="1:16" x14ac:dyDescent="0.25">
      <c r="A551" s="42" t="s">
        <v>841</v>
      </c>
      <c r="B551" s="49" t="s">
        <v>280</v>
      </c>
      <c r="C551" s="42" t="s">
        <v>767</v>
      </c>
      <c r="D551" s="145">
        <v>325115058</v>
      </c>
      <c r="E551" s="42" t="s">
        <v>261</v>
      </c>
      <c r="F551" s="84">
        <v>39728</v>
      </c>
      <c r="G551" s="108" t="str">
        <f>CHOOSE(MONTH(F551),"Jan","Feb","Mar","Apr","May","Jun","Jul","Aug","Sep","Oct","Nov","Dec")</f>
        <v>Oct</v>
      </c>
      <c r="H551" s="54">
        <f ca="1">DATEDIF(F551,TODAY(),"Y")</f>
        <v>8</v>
      </c>
      <c r="I551" s="55" t="s">
        <v>257</v>
      </c>
      <c r="J551" s="56">
        <v>45565</v>
      </c>
      <c r="K551" s="57">
        <v>1</v>
      </c>
    </row>
    <row r="552" spans="1:16" x14ac:dyDescent="0.25">
      <c r="A552" s="42" t="s">
        <v>769</v>
      </c>
      <c r="B552" s="49" t="s">
        <v>285</v>
      </c>
      <c r="C552" s="42" t="s">
        <v>767</v>
      </c>
      <c r="D552" s="145">
        <v>128474861</v>
      </c>
      <c r="E552" s="42" t="s">
        <v>256</v>
      </c>
      <c r="F552" s="84">
        <v>40477</v>
      </c>
      <c r="G552" s="108" t="str">
        <f>CHOOSE(MONTH(F552),"Jan","Feb","Mar","Apr","May","Jun","Jul","Aug","Sep","Oct","Nov","Dec")</f>
        <v>Oct</v>
      </c>
      <c r="H552" s="54">
        <f ca="1">DATEDIF(F552,TODAY(),"Y")</f>
        <v>6</v>
      </c>
      <c r="I552" s="55" t="s">
        <v>267</v>
      </c>
      <c r="J552" s="56">
        <v>63206</v>
      </c>
      <c r="K552" s="57">
        <v>1</v>
      </c>
    </row>
    <row r="553" spans="1:16" x14ac:dyDescent="0.25">
      <c r="A553" s="42" t="s">
        <v>810</v>
      </c>
      <c r="B553" s="49" t="s">
        <v>285</v>
      </c>
      <c r="C553" s="42" t="s">
        <v>767</v>
      </c>
      <c r="D553" s="145">
        <v>164418924</v>
      </c>
      <c r="E553" s="42" t="s">
        <v>247</v>
      </c>
      <c r="F553" s="84">
        <v>34658</v>
      </c>
      <c r="G553" s="108" t="str">
        <f>CHOOSE(MONTH(F553),"Jan","Feb","Mar","Apr","May","Jun","Jul","Aug","Sep","Oct","Nov","Dec")</f>
        <v>Nov</v>
      </c>
      <c r="H553" s="54">
        <f ca="1">DATEDIF(F553,TODAY(),"Y")</f>
        <v>21</v>
      </c>
      <c r="I553" s="55"/>
      <c r="J553" s="56">
        <v>85980</v>
      </c>
      <c r="K553" s="57">
        <v>2</v>
      </c>
    </row>
    <row r="554" spans="1:16" x14ac:dyDescent="0.25">
      <c r="A554" s="42" t="s">
        <v>817</v>
      </c>
      <c r="B554" s="49" t="s">
        <v>285</v>
      </c>
      <c r="C554" s="42" t="s">
        <v>767</v>
      </c>
      <c r="D554" s="145">
        <v>483246957</v>
      </c>
      <c r="E554" s="42" t="s">
        <v>256</v>
      </c>
      <c r="F554" s="84">
        <v>37568</v>
      </c>
      <c r="G554" s="108" t="str">
        <f>CHOOSE(MONTH(F554),"Jan","Feb","Mar","Apr","May","Jun","Jul","Aug","Sep","Oct","Nov","Dec")</f>
        <v>Nov</v>
      </c>
      <c r="H554" s="54">
        <f ca="1">DATEDIF(F554,TODAY(),"Y")</f>
        <v>14</v>
      </c>
      <c r="I554" s="55" t="s">
        <v>262</v>
      </c>
      <c r="J554" s="56">
        <v>45100</v>
      </c>
      <c r="K554" s="57">
        <v>2</v>
      </c>
    </row>
    <row r="555" spans="1:16" x14ac:dyDescent="0.25">
      <c r="A555" s="42" t="s">
        <v>830</v>
      </c>
      <c r="B555" s="49" t="s">
        <v>271</v>
      </c>
      <c r="C555" s="42" t="s">
        <v>767</v>
      </c>
      <c r="D555" s="145">
        <v>911878948</v>
      </c>
      <c r="E555" s="42" t="s">
        <v>256</v>
      </c>
      <c r="F555" s="84">
        <v>39047</v>
      </c>
      <c r="G555" s="108" t="str">
        <f>CHOOSE(MONTH(F555),"Jan","Feb","Mar","Apr","May","Jun","Jul","Aug","Sep","Oct","Nov","Dec")</f>
        <v>Nov</v>
      </c>
      <c r="H555" s="54">
        <f ca="1">DATEDIF(F555,TODAY(),"Y")</f>
        <v>9</v>
      </c>
      <c r="I555" s="55" t="s">
        <v>283</v>
      </c>
      <c r="J555" s="56">
        <v>65880</v>
      </c>
      <c r="K555" s="57">
        <v>5</v>
      </c>
      <c r="O555" s="78"/>
      <c r="P555" s="78"/>
    </row>
    <row r="556" spans="1:16" x14ac:dyDescent="0.25">
      <c r="A556" s="42" t="s">
        <v>816</v>
      </c>
      <c r="B556" s="49" t="s">
        <v>271</v>
      </c>
      <c r="C556" s="42" t="s">
        <v>767</v>
      </c>
      <c r="D556" s="145">
        <v>674985174</v>
      </c>
      <c r="E556" s="42" t="s">
        <v>256</v>
      </c>
      <c r="F556" s="84">
        <v>40137</v>
      </c>
      <c r="G556" s="108" t="str">
        <f>CHOOSE(MONTH(F556),"Jan","Feb","Mar","Apr","May","Jun","Jul","Aug","Sep","Oct","Nov","Dec")</f>
        <v>Nov</v>
      </c>
      <c r="H556" s="54">
        <f ca="1">DATEDIF(F556,TODAY(),"Y")</f>
        <v>6</v>
      </c>
      <c r="I556" s="55" t="s">
        <v>257</v>
      </c>
      <c r="J556" s="56">
        <v>54190</v>
      </c>
      <c r="K556" s="57">
        <v>4</v>
      </c>
    </row>
    <row r="557" spans="1:16" x14ac:dyDescent="0.25">
      <c r="A557" s="42" t="s">
        <v>801</v>
      </c>
      <c r="B557" s="49" t="s">
        <v>271</v>
      </c>
      <c r="C557" s="42" t="s">
        <v>767</v>
      </c>
      <c r="D557" s="145">
        <v>598630857</v>
      </c>
      <c r="E557" s="42" t="s">
        <v>247</v>
      </c>
      <c r="F557" s="84">
        <v>33234</v>
      </c>
      <c r="G557" s="108" t="str">
        <f>CHOOSE(MONTH(F557),"Jan","Feb","Mar","Apr","May","Jun","Jul","Aug","Sep","Oct","Nov","Dec")</f>
        <v>Dec</v>
      </c>
      <c r="H557" s="54">
        <f ca="1">DATEDIF(F557,TODAY(),"Y")</f>
        <v>25</v>
      </c>
      <c r="I557" s="55"/>
      <c r="J557" s="56">
        <v>58650</v>
      </c>
      <c r="K557" s="57">
        <v>4</v>
      </c>
    </row>
    <row r="558" spans="1:16" x14ac:dyDescent="0.25">
      <c r="A558" s="42" t="s">
        <v>854</v>
      </c>
      <c r="B558" s="49" t="s">
        <v>285</v>
      </c>
      <c r="C558" s="42" t="s">
        <v>767</v>
      </c>
      <c r="D558" s="145">
        <v>708625906</v>
      </c>
      <c r="E558" s="42" t="s">
        <v>256</v>
      </c>
      <c r="F558" s="84">
        <v>33573</v>
      </c>
      <c r="G558" s="108" t="str">
        <f>CHOOSE(MONTH(F558),"Jan","Feb","Mar","Apr","May","Jun","Jul","Aug","Sep","Oct","Nov","Dec")</f>
        <v>Dec</v>
      </c>
      <c r="H558" s="54">
        <f ca="1">DATEDIF(F558,TODAY(),"Y")</f>
        <v>24</v>
      </c>
      <c r="I558" s="55" t="s">
        <v>276</v>
      </c>
      <c r="J558" s="56">
        <v>71680</v>
      </c>
      <c r="K558" s="57">
        <v>4</v>
      </c>
      <c r="O558" s="78"/>
      <c r="P558" s="78"/>
    </row>
    <row r="559" spans="1:16" x14ac:dyDescent="0.25">
      <c r="A559" s="42" t="s">
        <v>794</v>
      </c>
      <c r="B559" s="49" t="s">
        <v>245</v>
      </c>
      <c r="C559" s="42" t="s">
        <v>767</v>
      </c>
      <c r="D559" s="145">
        <v>668966618</v>
      </c>
      <c r="E559" s="42" t="s">
        <v>247</v>
      </c>
      <c r="F559" s="84">
        <v>33578</v>
      </c>
      <c r="G559" s="108" t="str">
        <f>CHOOSE(MONTH(F559),"Jan","Feb","Mar","Apr","May","Jun","Jul","Aug","Sep","Oct","Nov","Dec")</f>
        <v>Dec</v>
      </c>
      <c r="H559" s="54">
        <f ca="1">DATEDIF(F559,TODAY(),"Y")</f>
        <v>24</v>
      </c>
      <c r="I559" s="55"/>
      <c r="J559" s="56">
        <v>50840</v>
      </c>
      <c r="K559" s="57">
        <v>4</v>
      </c>
    </row>
    <row r="560" spans="1:16" x14ac:dyDescent="0.25">
      <c r="A560" s="42" t="s">
        <v>839</v>
      </c>
      <c r="B560" s="49" t="s">
        <v>271</v>
      </c>
      <c r="C560" s="42" t="s">
        <v>767</v>
      </c>
      <c r="D560" s="145">
        <v>135353214</v>
      </c>
      <c r="E560" s="42" t="s">
        <v>247</v>
      </c>
      <c r="F560" s="84">
        <v>33949</v>
      </c>
      <c r="G560" s="108" t="str">
        <f>CHOOSE(MONTH(F560),"Jan","Feb","Mar","Apr","May","Jun","Jul","Aug","Sep","Oct","Nov","Dec")</f>
        <v>Dec</v>
      </c>
      <c r="H560" s="54">
        <f ca="1">DATEDIF(F560,TODAY(),"Y")</f>
        <v>23</v>
      </c>
      <c r="I560" s="55"/>
      <c r="J560" s="56">
        <v>44720</v>
      </c>
      <c r="K560" s="57">
        <v>2</v>
      </c>
      <c r="O560" s="78"/>
      <c r="P560" s="78"/>
    </row>
    <row r="561" spans="1:16" x14ac:dyDescent="0.25">
      <c r="A561" s="42" t="s">
        <v>844</v>
      </c>
      <c r="B561" s="49" t="s">
        <v>280</v>
      </c>
      <c r="C561" s="42" t="s">
        <v>767</v>
      </c>
      <c r="D561" s="145">
        <v>402835335</v>
      </c>
      <c r="E561" s="42" t="s">
        <v>256</v>
      </c>
      <c r="F561" s="84">
        <v>34693</v>
      </c>
      <c r="G561" s="108" t="str">
        <f>CHOOSE(MONTH(F561),"Jan","Feb","Mar","Apr","May","Jun","Jul","Aug","Sep","Oct","Nov","Dec")</f>
        <v>Dec</v>
      </c>
      <c r="H561" s="54">
        <f ca="1">DATEDIF(F561,TODAY(),"Y")</f>
        <v>21</v>
      </c>
      <c r="I561" s="55" t="s">
        <v>262</v>
      </c>
      <c r="J561" s="56">
        <v>88820</v>
      </c>
      <c r="K561" s="57">
        <v>2</v>
      </c>
    </row>
    <row r="562" spans="1:16" x14ac:dyDescent="0.25">
      <c r="A562" s="42" t="s">
        <v>789</v>
      </c>
      <c r="B562" s="49" t="s">
        <v>251</v>
      </c>
      <c r="C562" s="42" t="s">
        <v>767</v>
      </c>
      <c r="D562" s="145">
        <v>474263211</v>
      </c>
      <c r="E562" s="42" t="s">
        <v>256</v>
      </c>
      <c r="F562" s="84">
        <v>36136</v>
      </c>
      <c r="G562" s="108" t="str">
        <f>CHOOSE(MONTH(F562),"Jan","Feb","Mar","Apr","May","Jun","Jul","Aug","Sep","Oct","Nov","Dec")</f>
        <v>Dec</v>
      </c>
      <c r="H562" s="54">
        <f ca="1">DATEDIF(F562,TODAY(),"Y")</f>
        <v>17</v>
      </c>
      <c r="I562" s="55" t="s">
        <v>283</v>
      </c>
      <c r="J562" s="56">
        <v>45000</v>
      </c>
      <c r="K562" s="57">
        <v>4</v>
      </c>
    </row>
    <row r="563" spans="1:16" x14ac:dyDescent="0.25">
      <c r="A563" s="42" t="s">
        <v>787</v>
      </c>
      <c r="B563" s="49" t="s">
        <v>271</v>
      </c>
      <c r="C563" s="42" t="s">
        <v>767</v>
      </c>
      <c r="D563" s="145">
        <v>754757751</v>
      </c>
      <c r="E563" s="42" t="s">
        <v>261</v>
      </c>
      <c r="F563" s="84">
        <v>37249</v>
      </c>
      <c r="G563" s="108" t="str">
        <f>CHOOSE(MONTH(F563),"Jan","Feb","Mar","Apr","May","Jun","Jul","Aug","Sep","Oct","Nov","Dec")</f>
        <v>Dec</v>
      </c>
      <c r="H563" s="54">
        <f ca="1">DATEDIF(F563,TODAY(),"Y")</f>
        <v>14</v>
      </c>
      <c r="I563" s="55" t="s">
        <v>276</v>
      </c>
      <c r="J563" s="56">
        <v>12545</v>
      </c>
      <c r="K563" s="57">
        <v>4</v>
      </c>
    </row>
    <row r="564" spans="1:16" x14ac:dyDescent="0.25">
      <c r="A564" s="42" t="s">
        <v>849</v>
      </c>
      <c r="B564" s="49" t="s">
        <v>285</v>
      </c>
      <c r="C564" s="42" t="s">
        <v>767</v>
      </c>
      <c r="D564" s="145">
        <v>696848704</v>
      </c>
      <c r="E564" s="42" t="s">
        <v>256</v>
      </c>
      <c r="F564" s="84">
        <v>39446</v>
      </c>
      <c r="G564" s="108" t="str">
        <f>CHOOSE(MONTH(F564),"Jan","Feb","Mar","Apr","May","Jun","Jul","Aug","Sep","Oct","Nov","Dec")</f>
        <v>Dec</v>
      </c>
      <c r="H564" s="54">
        <f ca="1">DATEDIF(F564,TODAY(),"Y")</f>
        <v>8</v>
      </c>
      <c r="I564" s="55" t="s">
        <v>257</v>
      </c>
      <c r="J564" s="56">
        <v>44650</v>
      </c>
      <c r="K564" s="57">
        <v>1</v>
      </c>
    </row>
    <row r="565" spans="1:16" x14ac:dyDescent="0.25">
      <c r="A565" s="42" t="s">
        <v>778</v>
      </c>
      <c r="B565" s="49" t="s">
        <v>271</v>
      </c>
      <c r="C565" s="42" t="s">
        <v>767</v>
      </c>
      <c r="D565" s="145">
        <v>345234895</v>
      </c>
      <c r="E565" s="42" t="s">
        <v>261</v>
      </c>
      <c r="F565" s="84">
        <v>40166</v>
      </c>
      <c r="G565" s="108" t="str">
        <f>CHOOSE(MONTH(F565),"Jan","Feb","Mar","Apr","May","Jun","Jul","Aug","Sep","Oct","Nov","Dec")</f>
        <v>Dec</v>
      </c>
      <c r="H565" s="54">
        <f ca="1">DATEDIF(F565,TODAY(),"Y")</f>
        <v>6</v>
      </c>
      <c r="I565" s="55" t="s">
        <v>276</v>
      </c>
      <c r="J565" s="56">
        <v>25245</v>
      </c>
      <c r="K565" s="57">
        <v>5</v>
      </c>
    </row>
    <row r="566" spans="1:16" x14ac:dyDescent="0.25">
      <c r="A566" s="42" t="s">
        <v>894</v>
      </c>
      <c r="B566" s="49" t="s">
        <v>245</v>
      </c>
      <c r="C566" s="42" t="s">
        <v>856</v>
      </c>
      <c r="D566" s="145">
        <v>570988988</v>
      </c>
      <c r="E566" s="42" t="s">
        <v>252</v>
      </c>
      <c r="F566" s="84">
        <v>33256</v>
      </c>
      <c r="G566" s="108" t="str">
        <f>CHOOSE(MONTH(F566),"Jan","Feb","Mar","Apr","May","Jun","Jul","Aug","Sep","Oct","Nov","Dec")</f>
        <v>Jan</v>
      </c>
      <c r="H566" s="54">
        <f ca="1">DATEDIF(F566,TODAY(),"Y")</f>
        <v>25</v>
      </c>
      <c r="I566" s="55"/>
      <c r="J566" s="56">
        <v>30468</v>
      </c>
      <c r="K566" s="57">
        <v>2</v>
      </c>
    </row>
    <row r="567" spans="1:16" x14ac:dyDescent="0.25">
      <c r="A567" s="42" t="s">
        <v>858</v>
      </c>
      <c r="B567" s="49" t="s">
        <v>285</v>
      </c>
      <c r="C567" s="42" t="s">
        <v>856</v>
      </c>
      <c r="D567" s="145">
        <v>386357839</v>
      </c>
      <c r="E567" s="42" t="s">
        <v>256</v>
      </c>
      <c r="F567" s="84">
        <v>33269</v>
      </c>
      <c r="G567" s="108" t="str">
        <f>CHOOSE(MONTH(F567),"Jan","Feb","Mar","Apr","May","Jun","Jul","Aug","Sep","Oct","Nov","Dec")</f>
        <v>Jan</v>
      </c>
      <c r="H567" s="54">
        <f ca="1">DATEDIF(F567,TODAY(),"Y")</f>
        <v>25</v>
      </c>
      <c r="I567" s="55" t="s">
        <v>283</v>
      </c>
      <c r="J567" s="56">
        <v>24840</v>
      </c>
      <c r="K567" s="57">
        <v>1</v>
      </c>
    </row>
    <row r="568" spans="1:16" x14ac:dyDescent="0.25">
      <c r="A568" s="42" t="s">
        <v>878</v>
      </c>
      <c r="B568" s="49" t="s">
        <v>285</v>
      </c>
      <c r="C568" s="42" t="s">
        <v>856</v>
      </c>
      <c r="D568" s="145">
        <v>919799753</v>
      </c>
      <c r="E568" s="42" t="s">
        <v>256</v>
      </c>
      <c r="F568" s="84">
        <v>33604</v>
      </c>
      <c r="G568" s="108" t="str">
        <f>CHOOSE(MONTH(F568),"Jan","Feb","Mar","Apr","May","Jun","Jul","Aug","Sep","Oct","Nov","Dec")</f>
        <v>Jan</v>
      </c>
      <c r="H568" s="54">
        <f ca="1">DATEDIF(F568,TODAY(),"Y")</f>
        <v>24</v>
      </c>
      <c r="I568" s="55" t="s">
        <v>257</v>
      </c>
      <c r="J568" s="56">
        <v>54830</v>
      </c>
      <c r="K568" s="57">
        <v>1</v>
      </c>
    </row>
    <row r="569" spans="1:16" x14ac:dyDescent="0.25">
      <c r="A569" s="42" t="s">
        <v>879</v>
      </c>
      <c r="B569" s="49" t="s">
        <v>271</v>
      </c>
      <c r="C569" s="42" t="s">
        <v>856</v>
      </c>
      <c r="D569" s="145">
        <v>816554850</v>
      </c>
      <c r="E569" s="42" t="s">
        <v>252</v>
      </c>
      <c r="F569" s="84">
        <v>34345</v>
      </c>
      <c r="G569" s="108" t="str">
        <f>CHOOSE(MONTH(F569),"Jan","Feb","Mar","Apr","May","Jun","Jul","Aug","Sep","Oct","Nov","Dec")</f>
        <v>Jan</v>
      </c>
      <c r="H569" s="54">
        <f ca="1">DATEDIF(F569,TODAY(),"Y")</f>
        <v>22</v>
      </c>
      <c r="I569" s="55"/>
      <c r="J569" s="56">
        <v>36788</v>
      </c>
      <c r="K569" s="57">
        <v>4</v>
      </c>
    </row>
    <row r="570" spans="1:16" x14ac:dyDescent="0.25">
      <c r="A570" s="42" t="s">
        <v>912</v>
      </c>
      <c r="B570" s="49" t="s">
        <v>245</v>
      </c>
      <c r="C570" s="42" t="s">
        <v>856</v>
      </c>
      <c r="D570" s="145">
        <v>431314172</v>
      </c>
      <c r="E570" s="42" t="s">
        <v>256</v>
      </c>
      <c r="F570" s="84">
        <v>35451</v>
      </c>
      <c r="G570" s="108" t="str">
        <f>CHOOSE(MONTH(F570),"Jan","Feb","Mar","Apr","May","Jun","Jul","Aug","Sep","Oct","Nov","Dec")</f>
        <v>Jan</v>
      </c>
      <c r="H570" s="54">
        <f ca="1">DATEDIF(F570,TODAY(),"Y")</f>
        <v>19</v>
      </c>
      <c r="I570" s="55" t="s">
        <v>276</v>
      </c>
      <c r="J570" s="56">
        <v>62965</v>
      </c>
      <c r="K570" s="57">
        <v>1</v>
      </c>
    </row>
    <row r="571" spans="1:16" x14ac:dyDescent="0.25">
      <c r="A571" s="42" t="s">
        <v>927</v>
      </c>
      <c r="B571" s="49" t="s">
        <v>271</v>
      </c>
      <c r="C571" s="42" t="s">
        <v>856</v>
      </c>
      <c r="D571" s="145">
        <v>843883903</v>
      </c>
      <c r="E571" s="42" t="s">
        <v>247</v>
      </c>
      <c r="F571" s="84">
        <v>35806</v>
      </c>
      <c r="G571" s="108" t="str">
        <f>CHOOSE(MONTH(F571),"Jan","Feb","Mar","Apr","May","Jun","Jul","Aug","Sep","Oct","Nov","Dec")</f>
        <v>Jan</v>
      </c>
      <c r="H571" s="54">
        <f ca="1">DATEDIF(F571,TODAY(),"Y")</f>
        <v>18</v>
      </c>
      <c r="I571" s="55"/>
      <c r="J571" s="56">
        <v>86100</v>
      </c>
      <c r="K571" s="57">
        <v>4</v>
      </c>
      <c r="O571" s="78"/>
      <c r="P571" s="78"/>
    </row>
    <row r="572" spans="1:16" x14ac:dyDescent="0.25">
      <c r="A572" s="42" t="s">
        <v>855</v>
      </c>
      <c r="B572" s="49" t="s">
        <v>285</v>
      </c>
      <c r="C572" s="42" t="s">
        <v>856</v>
      </c>
      <c r="D572" s="145">
        <v>372523421</v>
      </c>
      <c r="E572" s="42" t="s">
        <v>256</v>
      </c>
      <c r="F572" s="84">
        <v>36526</v>
      </c>
      <c r="G572" s="108" t="str">
        <f>CHOOSE(MONTH(F572),"Jan","Feb","Mar","Apr","May","Jun","Jul","Aug","Sep","Oct","Nov","Dec")</f>
        <v>Jan</v>
      </c>
      <c r="H572" s="54">
        <f ca="1">DATEDIF(F572,TODAY(),"Y")</f>
        <v>16</v>
      </c>
      <c r="I572" s="55" t="s">
        <v>257</v>
      </c>
      <c r="J572" s="56">
        <v>29260</v>
      </c>
      <c r="K572" s="57">
        <v>4</v>
      </c>
    </row>
    <row r="573" spans="1:16" x14ac:dyDescent="0.25">
      <c r="A573" s="42" t="s">
        <v>895</v>
      </c>
      <c r="B573" s="49" t="s">
        <v>271</v>
      </c>
      <c r="C573" s="42" t="s">
        <v>856</v>
      </c>
      <c r="D573" s="145">
        <v>373432482</v>
      </c>
      <c r="E573" s="42" t="s">
        <v>261</v>
      </c>
      <c r="F573" s="84">
        <v>36531</v>
      </c>
      <c r="G573" s="108" t="str">
        <f>CHOOSE(MONTH(F573),"Jan","Feb","Mar","Apr","May","Jun","Jul","Aug","Sep","Oct","Nov","Dec")</f>
        <v>Jan</v>
      </c>
      <c r="H573" s="54">
        <f ca="1">DATEDIF(F573,TODAY(),"Y")</f>
        <v>16</v>
      </c>
      <c r="I573" s="55" t="s">
        <v>267</v>
      </c>
      <c r="J573" s="56">
        <v>20990</v>
      </c>
      <c r="K573" s="57">
        <v>4</v>
      </c>
    </row>
    <row r="574" spans="1:16" x14ac:dyDescent="0.25">
      <c r="A574" s="42" t="s">
        <v>864</v>
      </c>
      <c r="B574" s="49" t="s">
        <v>266</v>
      </c>
      <c r="C574" s="42" t="s">
        <v>856</v>
      </c>
      <c r="D574" s="145">
        <v>219299557</v>
      </c>
      <c r="E574" s="42" t="s">
        <v>256</v>
      </c>
      <c r="F574" s="84">
        <v>37625</v>
      </c>
      <c r="G574" s="108" t="str">
        <f>CHOOSE(MONTH(F574),"Jan","Feb","Mar","Apr","May","Jun","Jul","Aug","Sep","Oct","Nov","Dec")</f>
        <v>Jan</v>
      </c>
      <c r="H574" s="54">
        <f ca="1">DATEDIF(F574,TODAY(),"Y")</f>
        <v>13</v>
      </c>
      <c r="I574" s="55" t="s">
        <v>283</v>
      </c>
      <c r="J574" s="56">
        <v>82490</v>
      </c>
      <c r="K574" s="57">
        <v>5</v>
      </c>
    </row>
    <row r="575" spans="1:16" x14ac:dyDescent="0.25">
      <c r="A575" s="42" t="s">
        <v>893</v>
      </c>
      <c r="B575" s="49" t="s">
        <v>280</v>
      </c>
      <c r="C575" s="42" t="s">
        <v>856</v>
      </c>
      <c r="D575" s="145">
        <v>859324834</v>
      </c>
      <c r="E575" s="42" t="s">
        <v>256</v>
      </c>
      <c r="F575" s="84">
        <v>38353</v>
      </c>
      <c r="G575" s="108" t="str">
        <f>CHOOSE(MONTH(F575),"Jan","Feb","Mar","Apr","May","Jun","Jul","Aug","Sep","Oct","Nov","Dec")</f>
        <v>Jan</v>
      </c>
      <c r="H575" s="54">
        <f ca="1">DATEDIF(F575,TODAY(),"Y")</f>
        <v>11</v>
      </c>
      <c r="I575" s="55" t="s">
        <v>283</v>
      </c>
      <c r="J575" s="56">
        <v>83710</v>
      </c>
      <c r="K575" s="57">
        <v>3</v>
      </c>
    </row>
    <row r="576" spans="1:16" x14ac:dyDescent="0.25">
      <c r="A576" s="42" t="s">
        <v>905</v>
      </c>
      <c r="B576" s="49" t="s">
        <v>245</v>
      </c>
      <c r="C576" s="42" t="s">
        <v>856</v>
      </c>
      <c r="D576" s="145">
        <v>735196274</v>
      </c>
      <c r="E576" s="42" t="s">
        <v>256</v>
      </c>
      <c r="F576" s="84">
        <v>39815</v>
      </c>
      <c r="G576" s="108" t="str">
        <f>CHOOSE(MONTH(F576),"Jan","Feb","Mar","Apr","May","Jun","Jul","Aug","Sep","Oct","Nov","Dec")</f>
        <v>Jan</v>
      </c>
      <c r="H576" s="54">
        <f ca="1">DATEDIF(F576,TODAY(),"Y")</f>
        <v>7</v>
      </c>
      <c r="I576" s="55" t="s">
        <v>283</v>
      </c>
      <c r="J576" s="56">
        <v>72060</v>
      </c>
      <c r="K576" s="57">
        <v>2</v>
      </c>
    </row>
    <row r="577" spans="1:11" x14ac:dyDescent="0.25">
      <c r="A577" s="42" t="s">
        <v>860</v>
      </c>
      <c r="B577" s="49" t="s">
        <v>251</v>
      </c>
      <c r="C577" s="42" t="s">
        <v>856</v>
      </c>
      <c r="D577" s="145">
        <v>649328697</v>
      </c>
      <c r="E577" s="42" t="s">
        <v>247</v>
      </c>
      <c r="F577" s="84">
        <v>33282</v>
      </c>
      <c r="G577" s="108" t="str">
        <f>CHOOSE(MONTH(F577),"Jan","Feb","Mar","Apr","May","Jun","Jul","Aug","Sep","Oct","Nov","Dec")</f>
        <v>Feb</v>
      </c>
      <c r="H577" s="54">
        <f ca="1">DATEDIF(F577,TODAY(),"Y")</f>
        <v>25</v>
      </c>
      <c r="I577" s="55"/>
      <c r="J577" s="56">
        <v>89450</v>
      </c>
      <c r="K577" s="57">
        <v>2</v>
      </c>
    </row>
    <row r="578" spans="1:11" x14ac:dyDescent="0.25">
      <c r="A578" s="42" t="s">
        <v>919</v>
      </c>
      <c r="B578" s="49" t="s">
        <v>245</v>
      </c>
      <c r="C578" s="42" t="s">
        <v>856</v>
      </c>
      <c r="D578" s="145">
        <v>280115764</v>
      </c>
      <c r="E578" s="42" t="s">
        <v>256</v>
      </c>
      <c r="F578" s="84">
        <v>34010</v>
      </c>
      <c r="G578" s="108" t="str">
        <f>CHOOSE(MONTH(F578),"Jan","Feb","Mar","Apr","May","Jun","Jul","Aug","Sep","Oct","Nov","Dec")</f>
        <v>Feb</v>
      </c>
      <c r="H578" s="54">
        <f ca="1">DATEDIF(F578,TODAY(),"Y")</f>
        <v>23</v>
      </c>
      <c r="I578" s="55" t="s">
        <v>257</v>
      </c>
      <c r="J578" s="56">
        <v>54270</v>
      </c>
      <c r="K578" s="57">
        <v>3</v>
      </c>
    </row>
    <row r="579" spans="1:11" x14ac:dyDescent="0.25">
      <c r="A579" s="42" t="s">
        <v>869</v>
      </c>
      <c r="B579" s="49" t="s">
        <v>251</v>
      </c>
      <c r="C579" s="42" t="s">
        <v>856</v>
      </c>
      <c r="D579" s="145">
        <v>797016597</v>
      </c>
      <c r="E579" s="42" t="s">
        <v>256</v>
      </c>
      <c r="F579" s="84">
        <v>34021</v>
      </c>
      <c r="G579" s="108" t="str">
        <f>CHOOSE(MONTH(F579),"Jan","Feb","Mar","Apr","May","Jun","Jul","Aug","Sep","Oct","Nov","Dec")</f>
        <v>Feb</v>
      </c>
      <c r="H579" s="54">
        <f ca="1">DATEDIF(F579,TODAY(),"Y")</f>
        <v>23</v>
      </c>
      <c r="I579" s="55" t="s">
        <v>283</v>
      </c>
      <c r="J579" s="56">
        <v>45110</v>
      </c>
      <c r="K579" s="57">
        <v>2</v>
      </c>
    </row>
    <row r="580" spans="1:11" x14ac:dyDescent="0.25">
      <c r="A580" s="42" t="s">
        <v>898</v>
      </c>
      <c r="B580" s="49" t="s">
        <v>271</v>
      </c>
      <c r="C580" s="42" t="s">
        <v>856</v>
      </c>
      <c r="D580" s="145">
        <v>340085253</v>
      </c>
      <c r="E580" s="42" t="s">
        <v>256</v>
      </c>
      <c r="F580" s="84">
        <v>34028</v>
      </c>
      <c r="G580" s="108" t="str">
        <f>CHOOSE(MONTH(F580),"Jan","Feb","Mar","Apr","May","Jun","Jul","Aug","Sep","Oct","Nov","Dec")</f>
        <v>Feb</v>
      </c>
      <c r="H580" s="54">
        <f ca="1">DATEDIF(F580,TODAY(),"Y")</f>
        <v>23</v>
      </c>
      <c r="I580" s="55" t="s">
        <v>283</v>
      </c>
      <c r="J580" s="56">
        <v>66824</v>
      </c>
      <c r="K580" s="57">
        <v>2</v>
      </c>
    </row>
    <row r="581" spans="1:11" x14ac:dyDescent="0.25">
      <c r="A581" s="42" t="s">
        <v>857</v>
      </c>
      <c r="B581" s="49" t="s">
        <v>271</v>
      </c>
      <c r="C581" s="42" t="s">
        <v>856</v>
      </c>
      <c r="D581" s="145">
        <v>466589090</v>
      </c>
      <c r="E581" s="42" t="s">
        <v>256</v>
      </c>
      <c r="F581" s="84">
        <v>34754</v>
      </c>
      <c r="G581" s="108" t="str">
        <f>CHOOSE(MONTH(F581),"Jan","Feb","Mar","Apr","May","Jun","Jul","Aug","Sep","Oct","Nov","Dec")</f>
        <v>Feb</v>
      </c>
      <c r="H581" s="54">
        <f ca="1">DATEDIF(F581,TODAY(),"Y")</f>
        <v>21</v>
      </c>
      <c r="I581" s="55" t="s">
        <v>257</v>
      </c>
      <c r="J581" s="56">
        <v>39000</v>
      </c>
      <c r="K581" s="57">
        <v>5</v>
      </c>
    </row>
    <row r="582" spans="1:11" x14ac:dyDescent="0.25">
      <c r="A582" s="42" t="s">
        <v>911</v>
      </c>
      <c r="B582" s="49" t="s">
        <v>280</v>
      </c>
      <c r="C582" s="42" t="s">
        <v>856</v>
      </c>
      <c r="D582" s="145">
        <v>338708343</v>
      </c>
      <c r="E582" s="42" t="s">
        <v>261</v>
      </c>
      <c r="F582" s="84">
        <v>35842</v>
      </c>
      <c r="G582" s="108" t="str">
        <f>CHOOSE(MONTH(F582),"Jan","Feb","Mar","Apr","May","Jun","Jul","Aug","Sep","Oct","Nov","Dec")</f>
        <v>Feb</v>
      </c>
      <c r="H582" s="54">
        <f ca="1">DATEDIF(F582,TODAY(),"Y")</f>
        <v>18</v>
      </c>
      <c r="I582" s="55" t="s">
        <v>267</v>
      </c>
      <c r="J582" s="56">
        <v>39530</v>
      </c>
      <c r="K582" s="57">
        <v>5</v>
      </c>
    </row>
    <row r="583" spans="1:11" x14ac:dyDescent="0.25">
      <c r="A583" s="42" t="s">
        <v>901</v>
      </c>
      <c r="B583" s="49" t="s">
        <v>271</v>
      </c>
      <c r="C583" s="42" t="s">
        <v>856</v>
      </c>
      <c r="D583" s="145">
        <v>466253648</v>
      </c>
      <c r="E583" s="42" t="s">
        <v>261</v>
      </c>
      <c r="F583" s="84">
        <v>36196</v>
      </c>
      <c r="G583" s="108" t="str">
        <f>CHOOSE(MONTH(F583),"Jan","Feb","Mar","Apr","May","Jun","Jul","Aug","Sep","Oct","Nov","Dec")</f>
        <v>Feb</v>
      </c>
      <c r="H583" s="54">
        <f ca="1">DATEDIF(F583,TODAY(),"Y")</f>
        <v>17</v>
      </c>
      <c r="I583" s="55" t="s">
        <v>257</v>
      </c>
      <c r="J583" s="56">
        <v>34980</v>
      </c>
      <c r="K583" s="57">
        <v>2</v>
      </c>
    </row>
    <row r="584" spans="1:11" x14ac:dyDescent="0.25">
      <c r="A584" s="42" t="s">
        <v>888</v>
      </c>
      <c r="B584" s="49" t="s">
        <v>285</v>
      </c>
      <c r="C584" s="42" t="s">
        <v>856</v>
      </c>
      <c r="D584" s="145">
        <v>946178165</v>
      </c>
      <c r="E584" s="42" t="s">
        <v>247</v>
      </c>
      <c r="F584" s="84">
        <v>36214</v>
      </c>
      <c r="G584" s="108" t="str">
        <f>CHOOSE(MONTH(F584),"Jan","Feb","Mar","Apr","May","Jun","Jul","Aug","Sep","Oct","Nov","Dec")</f>
        <v>Feb</v>
      </c>
      <c r="H584" s="54">
        <f ca="1">DATEDIF(F584,TODAY(),"Y")</f>
        <v>17</v>
      </c>
      <c r="I584" s="55"/>
      <c r="J584" s="56">
        <v>53310</v>
      </c>
      <c r="K584" s="57">
        <v>5</v>
      </c>
    </row>
    <row r="585" spans="1:11" x14ac:dyDescent="0.25">
      <c r="A585" s="42" t="s">
        <v>868</v>
      </c>
      <c r="B585" s="49" t="s">
        <v>266</v>
      </c>
      <c r="C585" s="42" t="s">
        <v>856</v>
      </c>
      <c r="D585" s="145">
        <v>312021243</v>
      </c>
      <c r="E585" s="42" t="s">
        <v>252</v>
      </c>
      <c r="F585" s="84">
        <v>36557</v>
      </c>
      <c r="G585" s="108" t="str">
        <f>CHOOSE(MONTH(F585),"Jan","Feb","Mar","Apr","May","Jun","Jul","Aug","Sep","Oct","Nov","Dec")</f>
        <v>Feb</v>
      </c>
      <c r="H585" s="54">
        <f ca="1">DATEDIF(F585,TODAY(),"Y")</f>
        <v>16</v>
      </c>
      <c r="I585" s="55"/>
      <c r="J585" s="56">
        <v>15552</v>
      </c>
      <c r="K585" s="57">
        <v>4</v>
      </c>
    </row>
    <row r="586" spans="1:11" x14ac:dyDescent="0.25">
      <c r="A586" s="42" t="s">
        <v>918</v>
      </c>
      <c r="B586" s="49" t="s">
        <v>251</v>
      </c>
      <c r="C586" s="42" t="s">
        <v>856</v>
      </c>
      <c r="D586" s="145">
        <v>793373269</v>
      </c>
      <c r="E586" s="42" t="s">
        <v>247</v>
      </c>
      <c r="F586" s="84">
        <v>38027</v>
      </c>
      <c r="G586" s="108" t="str">
        <f>CHOOSE(MONTH(F586),"Jan","Feb","Mar","Apr","May","Jun","Jul","Aug","Sep","Oct","Nov","Dec")</f>
        <v>Feb</v>
      </c>
      <c r="H586" s="54">
        <f ca="1">DATEDIF(F586,TODAY(),"Y")</f>
        <v>12</v>
      </c>
      <c r="I586" s="55"/>
      <c r="J586" s="56">
        <v>64590</v>
      </c>
      <c r="K586" s="57">
        <v>1</v>
      </c>
    </row>
    <row r="587" spans="1:11" x14ac:dyDescent="0.25">
      <c r="A587" s="42" t="s">
        <v>883</v>
      </c>
      <c r="B587" s="49" t="s">
        <v>285</v>
      </c>
      <c r="C587" s="42" t="s">
        <v>856</v>
      </c>
      <c r="D587" s="145">
        <v>654296101</v>
      </c>
      <c r="E587" s="42" t="s">
        <v>256</v>
      </c>
      <c r="F587" s="84">
        <v>40581</v>
      </c>
      <c r="G587" s="108" t="str">
        <f>CHOOSE(MONTH(F587),"Jan","Feb","Mar","Apr","May","Jun","Jul","Aug","Sep","Oct","Nov","Dec")</f>
        <v>Feb</v>
      </c>
      <c r="H587" s="54">
        <f ca="1">DATEDIF(F587,TODAY(),"Y")</f>
        <v>5</v>
      </c>
      <c r="I587" s="55" t="s">
        <v>267</v>
      </c>
      <c r="J587" s="56">
        <v>80260</v>
      </c>
      <c r="K587" s="57">
        <v>3</v>
      </c>
    </row>
    <row r="588" spans="1:11" x14ac:dyDescent="0.25">
      <c r="A588" s="42" t="s">
        <v>876</v>
      </c>
      <c r="B588" s="49" t="s">
        <v>285</v>
      </c>
      <c r="C588" s="42" t="s">
        <v>856</v>
      </c>
      <c r="D588" s="145">
        <v>183936013</v>
      </c>
      <c r="E588" s="42" t="s">
        <v>256</v>
      </c>
      <c r="F588" s="84">
        <v>33685</v>
      </c>
      <c r="G588" s="108" t="str">
        <f>CHOOSE(MONTH(F588),"Jan","Feb","Mar","Apr","May","Jun","Jul","Aug","Sep","Oct","Nov","Dec")</f>
        <v>Mar</v>
      </c>
      <c r="H588" s="54">
        <f ca="1">DATEDIF(F588,TODAY(),"Y")</f>
        <v>24</v>
      </c>
      <c r="I588" s="55" t="s">
        <v>257</v>
      </c>
      <c r="J588" s="56">
        <v>65571</v>
      </c>
      <c r="K588" s="57">
        <v>3</v>
      </c>
    </row>
    <row r="589" spans="1:11" x14ac:dyDescent="0.25">
      <c r="A589" s="42" t="s">
        <v>865</v>
      </c>
      <c r="B589" s="49" t="s">
        <v>285</v>
      </c>
      <c r="C589" s="42" t="s">
        <v>856</v>
      </c>
      <c r="D589" s="145">
        <v>452768809</v>
      </c>
      <c r="E589" s="42" t="s">
        <v>256</v>
      </c>
      <c r="F589" s="84">
        <v>35497</v>
      </c>
      <c r="G589" s="108" t="str">
        <f>CHOOSE(MONTH(F589),"Jan","Feb","Mar","Apr","May","Jun","Jul","Aug","Sep","Oct","Nov","Dec")</f>
        <v>Mar</v>
      </c>
      <c r="H589" s="54">
        <f ca="1">DATEDIF(F589,TODAY(),"Y")</f>
        <v>19</v>
      </c>
      <c r="I589" s="55" t="s">
        <v>257</v>
      </c>
      <c r="J589" s="56">
        <v>78710</v>
      </c>
      <c r="K589" s="57">
        <v>4</v>
      </c>
    </row>
    <row r="590" spans="1:11" x14ac:dyDescent="0.25">
      <c r="A590" s="42" t="s">
        <v>863</v>
      </c>
      <c r="B590" s="49" t="s">
        <v>271</v>
      </c>
      <c r="C590" s="42" t="s">
        <v>856</v>
      </c>
      <c r="D590" s="145">
        <v>463668739</v>
      </c>
      <c r="E590" s="42" t="s">
        <v>252</v>
      </c>
      <c r="F590" s="84">
        <v>35861</v>
      </c>
      <c r="G590" s="108" t="str">
        <f>CHOOSE(MONTH(F590),"Jan","Feb","Mar","Apr","May","Jun","Jul","Aug","Sep","Oct","Nov","Dec")</f>
        <v>Mar</v>
      </c>
      <c r="H590" s="54">
        <f ca="1">DATEDIF(F590,TODAY(),"Y")</f>
        <v>18</v>
      </c>
      <c r="I590" s="55"/>
      <c r="J590" s="56">
        <v>12836</v>
      </c>
      <c r="K590" s="57">
        <v>5</v>
      </c>
    </row>
    <row r="591" spans="1:11" x14ac:dyDescent="0.25">
      <c r="A591" s="42" t="s">
        <v>921</v>
      </c>
      <c r="B591" s="49" t="s">
        <v>245</v>
      </c>
      <c r="C591" s="42" t="s">
        <v>856</v>
      </c>
      <c r="D591" s="145">
        <v>874789888</v>
      </c>
      <c r="E591" s="42" t="s">
        <v>252</v>
      </c>
      <c r="F591" s="84">
        <v>35869</v>
      </c>
      <c r="G591" s="108" t="str">
        <f>CHOOSE(MONTH(F591),"Jan","Feb","Mar","Apr","May","Jun","Jul","Aug","Sep","Oct","Nov","Dec")</f>
        <v>Mar</v>
      </c>
      <c r="H591" s="54">
        <f ca="1">DATEDIF(F591,TODAY(),"Y")</f>
        <v>18</v>
      </c>
      <c r="I591" s="55"/>
      <c r="J591" s="56">
        <v>17912</v>
      </c>
      <c r="K591" s="57">
        <v>5</v>
      </c>
    </row>
    <row r="592" spans="1:11" x14ac:dyDescent="0.25">
      <c r="A592" s="42" t="s">
        <v>917</v>
      </c>
      <c r="B592" s="49" t="s">
        <v>285</v>
      </c>
      <c r="C592" s="42" t="s">
        <v>856</v>
      </c>
      <c r="D592" s="145">
        <v>534438045</v>
      </c>
      <c r="E592" s="42" t="s">
        <v>256</v>
      </c>
      <c r="F592" s="84">
        <v>36245</v>
      </c>
      <c r="G592" s="108" t="str">
        <f>CHOOSE(MONTH(F592),"Jan","Feb","Mar","Apr","May","Jun","Jul","Aug","Sep","Oct","Nov","Dec")</f>
        <v>Mar</v>
      </c>
      <c r="H592" s="54">
        <f ca="1">DATEDIF(F592,TODAY(),"Y")</f>
        <v>17</v>
      </c>
      <c r="I592" s="55" t="s">
        <v>257</v>
      </c>
      <c r="J592" s="56">
        <v>58410</v>
      </c>
      <c r="K592" s="57">
        <v>5</v>
      </c>
    </row>
    <row r="593" spans="1:11" x14ac:dyDescent="0.25">
      <c r="A593" s="42" t="s">
        <v>870</v>
      </c>
      <c r="B593" s="49" t="s">
        <v>285</v>
      </c>
      <c r="C593" s="42" t="s">
        <v>856</v>
      </c>
      <c r="D593" s="145">
        <v>328161272</v>
      </c>
      <c r="E593" s="42" t="s">
        <v>247</v>
      </c>
      <c r="F593" s="84">
        <v>38793</v>
      </c>
      <c r="G593" s="108" t="str">
        <f>CHOOSE(MONTH(F593),"Jan","Feb","Mar","Apr","May","Jun","Jul","Aug","Sep","Oct","Nov","Dec")</f>
        <v>Mar</v>
      </c>
      <c r="H593" s="54">
        <f ca="1">DATEDIF(F593,TODAY(),"Y")</f>
        <v>10</v>
      </c>
      <c r="I593" s="55"/>
      <c r="J593" s="56">
        <v>85930</v>
      </c>
      <c r="K593" s="57">
        <v>2</v>
      </c>
    </row>
    <row r="594" spans="1:11" x14ac:dyDescent="0.25">
      <c r="A594" s="42" t="s">
        <v>922</v>
      </c>
      <c r="B594" s="49" t="s">
        <v>245</v>
      </c>
      <c r="C594" s="42" t="s">
        <v>856</v>
      </c>
      <c r="D594" s="145">
        <v>263877585</v>
      </c>
      <c r="E594" s="42" t="s">
        <v>256</v>
      </c>
      <c r="F594" s="84">
        <v>39153</v>
      </c>
      <c r="G594" s="108" t="str">
        <f>CHOOSE(MONTH(F594),"Jan","Feb","Mar","Apr","May","Jun","Jul","Aug","Sep","Oct","Nov","Dec")</f>
        <v>Mar</v>
      </c>
      <c r="H594" s="54">
        <f ca="1">DATEDIF(F594,TODAY(),"Y")</f>
        <v>9</v>
      </c>
      <c r="I594" s="55" t="s">
        <v>283</v>
      </c>
      <c r="J594" s="56">
        <v>43600</v>
      </c>
      <c r="K594" s="57">
        <v>5</v>
      </c>
    </row>
    <row r="595" spans="1:11" x14ac:dyDescent="0.25">
      <c r="A595" s="42" t="s">
        <v>909</v>
      </c>
      <c r="B595" s="49" t="s">
        <v>285</v>
      </c>
      <c r="C595" s="42" t="s">
        <v>856</v>
      </c>
      <c r="D595" s="145">
        <v>499984037</v>
      </c>
      <c r="E595" s="42" t="s">
        <v>256</v>
      </c>
      <c r="F595" s="84">
        <v>33711</v>
      </c>
      <c r="G595" s="108" t="str">
        <f>CHOOSE(MONTH(F595),"Jan","Feb","Mar","Apr","May","Jun","Jul","Aug","Sep","Oct","Nov","Dec")</f>
        <v>Apr</v>
      </c>
      <c r="H595" s="54">
        <f ca="1">DATEDIF(F595,TODAY(),"Y")</f>
        <v>24</v>
      </c>
      <c r="I595" s="55" t="s">
        <v>257</v>
      </c>
      <c r="J595" s="56">
        <v>68470</v>
      </c>
      <c r="K595" s="57">
        <v>4</v>
      </c>
    </row>
    <row r="596" spans="1:11" x14ac:dyDescent="0.25">
      <c r="A596" s="42" t="s">
        <v>916</v>
      </c>
      <c r="B596" s="49" t="s">
        <v>285</v>
      </c>
      <c r="C596" s="42" t="s">
        <v>856</v>
      </c>
      <c r="D596" s="145">
        <v>878579075</v>
      </c>
      <c r="E596" s="42" t="s">
        <v>256</v>
      </c>
      <c r="F596" s="84">
        <v>34800</v>
      </c>
      <c r="G596" s="108" t="str">
        <f>CHOOSE(MONTH(F596),"Jan","Feb","Mar","Apr","May","Jun","Jul","Aug","Sep","Oct","Nov","Dec")</f>
        <v>Apr</v>
      </c>
      <c r="H596" s="54">
        <f ca="1">DATEDIF(F596,TODAY(),"Y")</f>
        <v>21</v>
      </c>
      <c r="I596" s="55" t="s">
        <v>262</v>
      </c>
      <c r="J596" s="56">
        <v>82700</v>
      </c>
      <c r="K596" s="57">
        <v>3</v>
      </c>
    </row>
    <row r="597" spans="1:11" x14ac:dyDescent="0.25">
      <c r="A597" s="42" t="s">
        <v>886</v>
      </c>
      <c r="B597" s="49" t="s">
        <v>285</v>
      </c>
      <c r="C597" s="42" t="s">
        <v>856</v>
      </c>
      <c r="D597" s="145">
        <v>170403932</v>
      </c>
      <c r="E597" s="42" t="s">
        <v>256</v>
      </c>
      <c r="F597" s="84">
        <v>35896</v>
      </c>
      <c r="G597" s="108" t="str">
        <f>CHOOSE(MONTH(F597),"Jan","Feb","Mar","Apr","May","Jun","Jul","Aug","Sep","Oct","Nov","Dec")</f>
        <v>Apr</v>
      </c>
      <c r="H597" s="54">
        <f ca="1">DATEDIF(F597,TODAY(),"Y")</f>
        <v>18</v>
      </c>
      <c r="I597" s="55" t="s">
        <v>283</v>
      </c>
      <c r="J597" s="56">
        <v>70280</v>
      </c>
      <c r="K597" s="57">
        <v>3</v>
      </c>
    </row>
    <row r="598" spans="1:11" x14ac:dyDescent="0.25">
      <c r="A598" s="42" t="s">
        <v>882</v>
      </c>
      <c r="B598" s="49" t="s">
        <v>271</v>
      </c>
      <c r="C598" s="42" t="s">
        <v>856</v>
      </c>
      <c r="D598" s="145">
        <v>161743192</v>
      </c>
      <c r="E598" s="42" t="s">
        <v>247</v>
      </c>
      <c r="F598" s="84">
        <v>36642</v>
      </c>
      <c r="G598" s="108" t="str">
        <f>CHOOSE(MONTH(F598),"Jan","Feb","Mar","Apr","May","Jun","Jul","Aug","Sep","Oct","Nov","Dec")</f>
        <v>Apr</v>
      </c>
      <c r="H598" s="54">
        <f ca="1">DATEDIF(F598,TODAY(),"Y")</f>
        <v>16</v>
      </c>
      <c r="I598" s="55"/>
      <c r="J598" s="56">
        <v>77760</v>
      </c>
      <c r="K598" s="57">
        <v>3</v>
      </c>
    </row>
    <row r="599" spans="1:11" x14ac:dyDescent="0.25">
      <c r="A599" s="42" t="s">
        <v>897</v>
      </c>
      <c r="B599" s="49" t="s">
        <v>285</v>
      </c>
      <c r="C599" s="42" t="s">
        <v>856</v>
      </c>
      <c r="D599" s="145">
        <v>342757851</v>
      </c>
      <c r="E599" s="42" t="s">
        <v>256</v>
      </c>
      <c r="F599" s="84">
        <v>35569</v>
      </c>
      <c r="G599" s="108" t="str">
        <f>CHOOSE(MONTH(F599),"Jan","Feb","Mar","Apr","May","Jun","Jul","Aug","Sep","Oct","Nov","Dec")</f>
        <v>May</v>
      </c>
      <c r="H599" s="54">
        <f ca="1">DATEDIF(F599,TODAY(),"Y")</f>
        <v>19</v>
      </c>
      <c r="I599" s="55" t="s">
        <v>283</v>
      </c>
      <c r="J599" s="56">
        <v>37770</v>
      </c>
      <c r="K599" s="57">
        <v>5</v>
      </c>
    </row>
    <row r="600" spans="1:11" x14ac:dyDescent="0.25">
      <c r="A600" s="42" t="s">
        <v>859</v>
      </c>
      <c r="B600" s="49" t="s">
        <v>245</v>
      </c>
      <c r="C600" s="42" t="s">
        <v>856</v>
      </c>
      <c r="D600" s="145">
        <v>540009487</v>
      </c>
      <c r="E600" s="42" t="s">
        <v>256</v>
      </c>
      <c r="F600" s="84">
        <v>36290</v>
      </c>
      <c r="G600" s="108" t="str">
        <f>CHOOSE(MONTH(F600),"Jan","Feb","Mar","Apr","May","Jun","Jul","Aug","Sep","Oct","Nov","Dec")</f>
        <v>May</v>
      </c>
      <c r="H600" s="54">
        <f ca="1">DATEDIF(F600,TODAY(),"Y")</f>
        <v>17</v>
      </c>
      <c r="I600" s="55" t="s">
        <v>283</v>
      </c>
      <c r="J600" s="56">
        <v>39000</v>
      </c>
      <c r="K600" s="57">
        <v>3</v>
      </c>
    </row>
    <row r="601" spans="1:11" x14ac:dyDescent="0.25">
      <c r="A601" s="42" t="s">
        <v>880</v>
      </c>
      <c r="B601" s="49" t="s">
        <v>285</v>
      </c>
      <c r="C601" s="42" t="s">
        <v>856</v>
      </c>
      <c r="D601" s="145">
        <v>796442491</v>
      </c>
      <c r="E601" s="42" t="s">
        <v>256</v>
      </c>
      <c r="F601" s="84">
        <v>36312</v>
      </c>
      <c r="G601" s="108" t="str">
        <f>CHOOSE(MONTH(F601),"Jan","Feb","Mar","Apr","May","Jun","Jul","Aug","Sep","Oct","Nov","Dec")</f>
        <v>Jun</v>
      </c>
      <c r="H601" s="54">
        <f ca="1">DATEDIF(F601,TODAY(),"Y")</f>
        <v>17</v>
      </c>
      <c r="I601" s="55" t="s">
        <v>257</v>
      </c>
      <c r="J601" s="56">
        <v>69200</v>
      </c>
      <c r="K601" s="57">
        <v>4</v>
      </c>
    </row>
    <row r="602" spans="1:11" x14ac:dyDescent="0.25">
      <c r="A602" s="42" t="s">
        <v>914</v>
      </c>
      <c r="B602" s="49" t="s">
        <v>245</v>
      </c>
      <c r="C602" s="42" t="s">
        <v>856</v>
      </c>
      <c r="D602" s="145">
        <v>447613866</v>
      </c>
      <c r="E602" s="42" t="s">
        <v>261</v>
      </c>
      <c r="F602" s="84">
        <v>37775</v>
      </c>
      <c r="G602" s="108" t="str">
        <f>CHOOSE(MONTH(F602),"Jan","Feb","Mar","Apr","May","Jun","Jul","Aug","Sep","Oct","Nov","Dec")</f>
        <v>Jun</v>
      </c>
      <c r="H602" s="54">
        <f ca="1">DATEDIF(F602,TODAY(),"Y")</f>
        <v>13</v>
      </c>
      <c r="I602" s="55" t="s">
        <v>262</v>
      </c>
      <c r="J602" s="56">
        <v>28525</v>
      </c>
      <c r="K602" s="57">
        <v>4</v>
      </c>
    </row>
    <row r="603" spans="1:11" x14ac:dyDescent="0.25">
      <c r="A603" s="42" t="s">
        <v>906</v>
      </c>
      <c r="B603" s="49" t="s">
        <v>280</v>
      </c>
      <c r="C603" s="42" t="s">
        <v>856</v>
      </c>
      <c r="D603" s="145">
        <v>934612546</v>
      </c>
      <c r="E603" s="42" t="s">
        <v>256</v>
      </c>
      <c r="F603" s="84">
        <v>37793</v>
      </c>
      <c r="G603" s="108" t="str">
        <f>CHOOSE(MONTH(F603),"Jan","Feb","Mar","Apr","May","Jun","Jul","Aug","Sep","Oct","Nov","Dec")</f>
        <v>Jun</v>
      </c>
      <c r="H603" s="54">
        <f ca="1">DATEDIF(F603,TODAY(),"Y")</f>
        <v>13</v>
      </c>
      <c r="I603" s="55" t="s">
        <v>257</v>
      </c>
      <c r="J603" s="56">
        <v>29210</v>
      </c>
      <c r="K603" s="57">
        <v>5</v>
      </c>
    </row>
    <row r="604" spans="1:11" x14ac:dyDescent="0.25">
      <c r="A604" s="42" t="s">
        <v>891</v>
      </c>
      <c r="B604" s="49" t="s">
        <v>271</v>
      </c>
      <c r="C604" s="42" t="s">
        <v>856</v>
      </c>
      <c r="D604" s="145">
        <v>113844527</v>
      </c>
      <c r="E604" s="42" t="s">
        <v>247</v>
      </c>
      <c r="F604" s="84">
        <v>40350</v>
      </c>
      <c r="G604" s="108" t="str">
        <f>CHOOSE(MONTH(F604),"Jan","Feb","Mar","Apr","May","Jun","Jul","Aug","Sep","Oct","Nov","Dec")</f>
        <v>Jun</v>
      </c>
      <c r="H604" s="54">
        <f ca="1">DATEDIF(F604,TODAY(),"Y")</f>
        <v>6</v>
      </c>
      <c r="I604" s="55"/>
      <c r="J604" s="56">
        <v>21580</v>
      </c>
      <c r="K604" s="57">
        <v>3</v>
      </c>
    </row>
    <row r="605" spans="1:11" x14ac:dyDescent="0.25">
      <c r="A605" s="42" t="s">
        <v>896</v>
      </c>
      <c r="B605" s="49" t="s">
        <v>271</v>
      </c>
      <c r="C605" s="42" t="s">
        <v>856</v>
      </c>
      <c r="D605" s="145">
        <v>277399035</v>
      </c>
      <c r="E605" s="42" t="s">
        <v>247</v>
      </c>
      <c r="F605" s="84">
        <v>33421</v>
      </c>
      <c r="G605" s="108" t="str">
        <f>CHOOSE(MONTH(F605),"Jan","Feb","Mar","Apr","May","Jun","Jul","Aug","Sep","Oct","Nov","Dec")</f>
        <v>Jul</v>
      </c>
      <c r="H605" s="54">
        <f ca="1">DATEDIF(F605,TODAY(),"Y")</f>
        <v>25</v>
      </c>
      <c r="I605" s="55"/>
      <c r="J605" s="56">
        <v>46650</v>
      </c>
      <c r="K605" s="57">
        <v>2</v>
      </c>
    </row>
    <row r="606" spans="1:11" x14ac:dyDescent="0.25">
      <c r="A606" s="42" t="s">
        <v>875</v>
      </c>
      <c r="B606" s="49" t="s">
        <v>285</v>
      </c>
      <c r="C606" s="42" t="s">
        <v>856</v>
      </c>
      <c r="D606" s="145">
        <v>180744338</v>
      </c>
      <c r="E606" s="42" t="s">
        <v>256</v>
      </c>
      <c r="F606" s="84">
        <v>34160</v>
      </c>
      <c r="G606" s="108" t="str">
        <f>CHOOSE(MONTH(F606),"Jan","Feb","Mar","Apr","May","Jun","Jul","Aug","Sep","Oct","Nov","Dec")</f>
        <v>Jul</v>
      </c>
      <c r="H606" s="54">
        <f ca="1">DATEDIF(F606,TODAY(),"Y")</f>
        <v>23</v>
      </c>
      <c r="I606" s="55" t="s">
        <v>257</v>
      </c>
      <c r="J606" s="56">
        <v>54200</v>
      </c>
      <c r="K606" s="57">
        <v>4</v>
      </c>
    </row>
    <row r="607" spans="1:11" x14ac:dyDescent="0.25">
      <c r="A607" s="42" t="s">
        <v>867</v>
      </c>
      <c r="B607" s="49" t="s">
        <v>271</v>
      </c>
      <c r="C607" s="42" t="s">
        <v>856</v>
      </c>
      <c r="D607" s="145">
        <v>812742633</v>
      </c>
      <c r="E607" s="42" t="s">
        <v>252</v>
      </c>
      <c r="F607" s="84">
        <v>34180</v>
      </c>
      <c r="G607" s="108" t="str">
        <f>CHOOSE(MONTH(F607),"Jan","Feb","Mar","Apr","May","Jun","Jul","Aug","Sep","Oct","Nov","Dec")</f>
        <v>Jul</v>
      </c>
      <c r="H607" s="54">
        <f ca="1">DATEDIF(F607,TODAY(),"Y")</f>
        <v>23</v>
      </c>
      <c r="I607" s="55"/>
      <c r="J607" s="56">
        <v>26484</v>
      </c>
      <c r="K607" s="57">
        <v>5</v>
      </c>
    </row>
    <row r="608" spans="1:11" x14ac:dyDescent="0.25">
      <c r="A608" s="42" t="s">
        <v>913</v>
      </c>
      <c r="B608" s="49" t="s">
        <v>245</v>
      </c>
      <c r="C608" s="42" t="s">
        <v>856</v>
      </c>
      <c r="D608" s="145">
        <v>370085368</v>
      </c>
      <c r="E608" s="42" t="s">
        <v>256</v>
      </c>
      <c r="F608" s="84">
        <v>36360</v>
      </c>
      <c r="G608" s="108" t="str">
        <f>CHOOSE(MONTH(F608),"Jan","Feb","Mar","Apr","May","Jun","Jul","Aug","Sep","Oct","Nov","Dec")</f>
        <v>Jul</v>
      </c>
      <c r="H608" s="54">
        <f ca="1">DATEDIF(F608,TODAY(),"Y")</f>
        <v>17</v>
      </c>
      <c r="I608" s="55" t="s">
        <v>283</v>
      </c>
      <c r="J608" s="56">
        <v>67020</v>
      </c>
      <c r="K608" s="57">
        <v>1</v>
      </c>
    </row>
    <row r="609" spans="1:11" x14ac:dyDescent="0.25">
      <c r="A609" s="42" t="s">
        <v>926</v>
      </c>
      <c r="B609" s="49" t="s">
        <v>251</v>
      </c>
      <c r="C609" s="42" t="s">
        <v>856</v>
      </c>
      <c r="D609" s="145">
        <v>445214773</v>
      </c>
      <c r="E609" s="42" t="s">
        <v>247</v>
      </c>
      <c r="F609" s="84">
        <v>37082</v>
      </c>
      <c r="G609" s="108" t="str">
        <f>CHOOSE(MONTH(F609),"Jan","Feb","Mar","Apr","May","Jun","Jul","Aug","Sep","Oct","Nov","Dec")</f>
        <v>Jul</v>
      </c>
      <c r="H609" s="54">
        <f ca="1">DATEDIF(F609,TODAY(),"Y")</f>
        <v>15</v>
      </c>
      <c r="I609" s="55"/>
      <c r="J609" s="56">
        <v>46780</v>
      </c>
      <c r="K609" s="57">
        <v>2</v>
      </c>
    </row>
    <row r="610" spans="1:11" x14ac:dyDescent="0.25">
      <c r="A610" s="42" t="s">
        <v>881</v>
      </c>
      <c r="B610" s="49" t="s">
        <v>280</v>
      </c>
      <c r="C610" s="42" t="s">
        <v>856</v>
      </c>
      <c r="D610" s="145">
        <v>851861797</v>
      </c>
      <c r="E610" s="42" t="s">
        <v>261</v>
      </c>
      <c r="F610" s="84">
        <v>37815</v>
      </c>
      <c r="G610" s="108" t="str">
        <f>CHOOSE(MONTH(F610),"Jan","Feb","Mar","Apr","May","Jun","Jul","Aug","Sep","Oct","Nov","Dec")</f>
        <v>Jul</v>
      </c>
      <c r="H610" s="54">
        <f ca="1">DATEDIF(F610,TODAY(),"Y")</f>
        <v>13</v>
      </c>
      <c r="I610" s="55" t="s">
        <v>257</v>
      </c>
      <c r="J610" s="56">
        <v>48740</v>
      </c>
      <c r="K610" s="57">
        <v>1</v>
      </c>
    </row>
    <row r="611" spans="1:11" x14ac:dyDescent="0.25">
      <c r="A611" s="42" t="s">
        <v>923</v>
      </c>
      <c r="B611" s="49" t="s">
        <v>285</v>
      </c>
      <c r="C611" s="42" t="s">
        <v>856</v>
      </c>
      <c r="D611" s="145">
        <v>382324838</v>
      </c>
      <c r="E611" s="42" t="s">
        <v>256</v>
      </c>
      <c r="F611" s="84">
        <v>38902</v>
      </c>
      <c r="G611" s="108" t="str">
        <f>CHOOSE(MONTH(F611),"Jan","Feb","Mar","Apr","May","Jun","Jul","Aug","Sep","Oct","Nov","Dec")</f>
        <v>Jul</v>
      </c>
      <c r="H611" s="54">
        <f ca="1">DATEDIF(F611,TODAY(),"Y")</f>
        <v>10</v>
      </c>
      <c r="I611" s="55" t="s">
        <v>257</v>
      </c>
      <c r="J611" s="56">
        <v>73560</v>
      </c>
      <c r="K611" s="57">
        <v>3</v>
      </c>
    </row>
    <row r="612" spans="1:11" x14ac:dyDescent="0.25">
      <c r="A612" s="42" t="s">
        <v>907</v>
      </c>
      <c r="B612" s="49" t="s">
        <v>251</v>
      </c>
      <c r="C612" s="42" t="s">
        <v>856</v>
      </c>
      <c r="D612" s="145">
        <v>921845293</v>
      </c>
      <c r="E612" s="42" t="s">
        <v>256</v>
      </c>
      <c r="F612" s="84">
        <v>33454</v>
      </c>
      <c r="G612" s="108" t="str">
        <f>CHOOSE(MONTH(F612),"Jan","Feb","Mar","Apr","May","Jun","Jul","Aug","Sep","Oct","Nov","Dec")</f>
        <v>Aug</v>
      </c>
      <c r="H612" s="54">
        <f ca="1">DATEDIF(F612,TODAY(),"Y")</f>
        <v>25</v>
      </c>
      <c r="I612" s="55" t="s">
        <v>257</v>
      </c>
      <c r="J612" s="56">
        <v>67920</v>
      </c>
      <c r="K612" s="57">
        <v>4</v>
      </c>
    </row>
    <row r="613" spans="1:11" x14ac:dyDescent="0.25">
      <c r="A613" s="42" t="s">
        <v>902</v>
      </c>
      <c r="B613" s="49" t="s">
        <v>271</v>
      </c>
      <c r="C613" s="42" t="s">
        <v>856</v>
      </c>
      <c r="D613" s="145">
        <v>786729290</v>
      </c>
      <c r="E613" s="42" t="s">
        <v>256</v>
      </c>
      <c r="F613" s="84">
        <v>36012</v>
      </c>
      <c r="G613" s="108" t="str">
        <f>CHOOSE(MONTH(F613),"Jan","Feb","Mar","Apr","May","Jun","Jul","Aug","Sep","Oct","Nov","Dec")</f>
        <v>Aug</v>
      </c>
      <c r="H613" s="54">
        <f ca="1">DATEDIF(F613,TODAY(),"Y")</f>
        <v>18</v>
      </c>
      <c r="I613" s="55" t="s">
        <v>262</v>
      </c>
      <c r="J613" s="56">
        <v>78950</v>
      </c>
      <c r="K613" s="57">
        <v>1</v>
      </c>
    </row>
    <row r="614" spans="1:11" x14ac:dyDescent="0.25">
      <c r="A614" s="42" t="s">
        <v>925</v>
      </c>
      <c r="B614" s="49" t="s">
        <v>271</v>
      </c>
      <c r="C614" s="42" t="s">
        <v>856</v>
      </c>
      <c r="D614" s="145">
        <v>403874356</v>
      </c>
      <c r="E614" s="42" t="s">
        <v>256</v>
      </c>
      <c r="F614" s="84">
        <v>33852</v>
      </c>
      <c r="G614" s="108" t="str">
        <f>CHOOSE(MONTH(F614),"Jan","Feb","Mar","Apr","May","Jun","Jul","Aug","Sep","Oct","Nov","Dec")</f>
        <v>Sep</v>
      </c>
      <c r="H614" s="54">
        <f ca="1">DATEDIF(F614,TODAY(),"Y")</f>
        <v>24</v>
      </c>
      <c r="I614" s="55" t="s">
        <v>276</v>
      </c>
      <c r="J614" s="56">
        <v>86240</v>
      </c>
      <c r="K614" s="57">
        <v>1</v>
      </c>
    </row>
    <row r="615" spans="1:11" x14ac:dyDescent="0.25">
      <c r="A615" s="42" t="s">
        <v>877</v>
      </c>
      <c r="B615" s="49" t="s">
        <v>271</v>
      </c>
      <c r="C615" s="42" t="s">
        <v>856</v>
      </c>
      <c r="D615" s="145">
        <v>359336760</v>
      </c>
      <c r="E615" s="42" t="s">
        <v>261</v>
      </c>
      <c r="F615" s="84">
        <v>35688</v>
      </c>
      <c r="G615" s="108" t="str">
        <f>CHOOSE(MONTH(F615),"Jan","Feb","Mar","Apr","May","Jun","Jul","Aug","Sep","Oct","Nov","Dec")</f>
        <v>Sep</v>
      </c>
      <c r="H615" s="54">
        <f ca="1">DATEDIF(F615,TODAY(),"Y")</f>
        <v>19</v>
      </c>
      <c r="I615" s="55" t="s">
        <v>283</v>
      </c>
      <c r="J615" s="56">
        <v>42740</v>
      </c>
      <c r="K615" s="57">
        <v>2</v>
      </c>
    </row>
    <row r="616" spans="1:11" x14ac:dyDescent="0.25">
      <c r="A616" s="42" t="s">
        <v>874</v>
      </c>
      <c r="B616" s="49" t="s">
        <v>271</v>
      </c>
      <c r="C616" s="42" t="s">
        <v>856</v>
      </c>
      <c r="D616" s="145">
        <v>468907604</v>
      </c>
      <c r="E616" s="42" t="s">
        <v>247</v>
      </c>
      <c r="F616" s="84">
        <v>36406</v>
      </c>
      <c r="G616" s="108" t="str">
        <f>CHOOSE(MONTH(F616),"Jan","Feb","Mar","Apr","May","Jun","Jul","Aug","Sep","Oct","Nov","Dec")</f>
        <v>Sep</v>
      </c>
      <c r="H616" s="54">
        <f ca="1">DATEDIF(F616,TODAY(),"Y")</f>
        <v>17</v>
      </c>
      <c r="I616" s="55"/>
      <c r="J616" s="56">
        <v>60800</v>
      </c>
      <c r="K616" s="57">
        <v>4</v>
      </c>
    </row>
    <row r="617" spans="1:11" x14ac:dyDescent="0.25">
      <c r="A617" s="42" t="s">
        <v>871</v>
      </c>
      <c r="B617" s="49" t="s">
        <v>285</v>
      </c>
      <c r="C617" s="42" t="s">
        <v>856</v>
      </c>
      <c r="D617" s="145">
        <v>887658667</v>
      </c>
      <c r="E617" s="42" t="s">
        <v>256</v>
      </c>
      <c r="F617" s="84">
        <v>36407</v>
      </c>
      <c r="G617" s="108" t="str">
        <f>CHOOSE(MONTH(F617),"Jan","Feb","Mar","Apr","May","Jun","Jul","Aug","Sep","Oct","Nov","Dec")</f>
        <v>Sep</v>
      </c>
      <c r="H617" s="54">
        <f ca="1">DATEDIF(F617,TODAY(),"Y")</f>
        <v>17</v>
      </c>
      <c r="I617" s="55" t="s">
        <v>262</v>
      </c>
      <c r="J617" s="56">
        <v>45880</v>
      </c>
      <c r="K617" s="57">
        <v>5</v>
      </c>
    </row>
    <row r="618" spans="1:11" x14ac:dyDescent="0.25">
      <c r="A618" s="42" t="s">
        <v>915</v>
      </c>
      <c r="B618" s="49" t="s">
        <v>285</v>
      </c>
      <c r="C618" s="42" t="s">
        <v>856</v>
      </c>
      <c r="D618" s="145">
        <v>555780449</v>
      </c>
      <c r="E618" s="42" t="s">
        <v>261</v>
      </c>
      <c r="F618" s="84">
        <v>36423</v>
      </c>
      <c r="G618" s="108" t="str">
        <f>CHOOSE(MONTH(F618),"Jan","Feb","Mar","Apr","May","Jun","Jul","Aug","Sep","Oct","Nov","Dec")</f>
        <v>Sep</v>
      </c>
      <c r="H618" s="54">
        <f ca="1">DATEDIF(F618,TODAY(),"Y")</f>
        <v>17</v>
      </c>
      <c r="I618" s="55" t="s">
        <v>276</v>
      </c>
      <c r="J618" s="56">
        <v>47350</v>
      </c>
      <c r="K618" s="57">
        <v>1</v>
      </c>
    </row>
    <row r="619" spans="1:11" x14ac:dyDescent="0.25">
      <c r="A619" s="42" t="s">
        <v>910</v>
      </c>
      <c r="B619" s="49" t="s">
        <v>245</v>
      </c>
      <c r="C619" s="42" t="s">
        <v>856</v>
      </c>
      <c r="D619" s="145">
        <v>896226469</v>
      </c>
      <c r="E619" s="42" t="s">
        <v>256</v>
      </c>
      <c r="F619" s="84">
        <v>38237</v>
      </c>
      <c r="G619" s="108" t="str">
        <f>CHOOSE(MONTH(F619),"Jan","Feb","Mar","Apr","May","Jun","Jul","Aug","Sep","Oct","Nov","Dec")</f>
        <v>Sep</v>
      </c>
      <c r="H619" s="54">
        <f ca="1">DATEDIF(F619,TODAY(),"Y")</f>
        <v>12</v>
      </c>
      <c r="I619" s="55" t="s">
        <v>283</v>
      </c>
      <c r="J619" s="56">
        <v>31910</v>
      </c>
      <c r="K619" s="57">
        <v>5</v>
      </c>
    </row>
    <row r="620" spans="1:11" x14ac:dyDescent="0.25">
      <c r="A620" s="42" t="s">
        <v>866</v>
      </c>
      <c r="B620" s="49" t="s">
        <v>285</v>
      </c>
      <c r="C620" s="42" t="s">
        <v>856</v>
      </c>
      <c r="D620" s="145">
        <v>737424567</v>
      </c>
      <c r="E620" s="42" t="s">
        <v>247</v>
      </c>
      <c r="F620" s="84">
        <v>39720</v>
      </c>
      <c r="G620" s="108" t="str">
        <f>CHOOSE(MONTH(F620),"Jan","Feb","Mar","Apr","May","Jun","Jul","Aug","Sep","Oct","Nov","Dec")</f>
        <v>Sep</v>
      </c>
      <c r="H620" s="54">
        <f ca="1">DATEDIF(F620,TODAY(),"Y")</f>
        <v>8</v>
      </c>
      <c r="I620" s="55"/>
      <c r="J620" s="56">
        <v>43320</v>
      </c>
      <c r="K620" s="57">
        <v>5</v>
      </c>
    </row>
    <row r="621" spans="1:11" x14ac:dyDescent="0.25">
      <c r="A621" s="42" t="s">
        <v>892</v>
      </c>
      <c r="B621" s="49" t="s">
        <v>280</v>
      </c>
      <c r="C621" s="42" t="s">
        <v>856</v>
      </c>
      <c r="D621" s="145">
        <v>337947291</v>
      </c>
      <c r="E621" s="42" t="s">
        <v>256</v>
      </c>
      <c r="F621" s="84">
        <v>40078</v>
      </c>
      <c r="G621" s="108" t="str">
        <f>CHOOSE(MONTH(F621),"Jan","Feb","Mar","Apr","May","Jun","Jul","Aug","Sep","Oct","Nov","Dec")</f>
        <v>Sep</v>
      </c>
      <c r="H621" s="54">
        <f ca="1">DATEDIF(F621,TODAY(),"Y")</f>
        <v>7</v>
      </c>
      <c r="I621" s="55" t="s">
        <v>283</v>
      </c>
      <c r="J621" s="56">
        <v>23190</v>
      </c>
      <c r="K621" s="57">
        <v>5</v>
      </c>
    </row>
    <row r="622" spans="1:11" x14ac:dyDescent="0.25">
      <c r="A622" s="42" t="s">
        <v>884</v>
      </c>
      <c r="B622" s="49" t="s">
        <v>266</v>
      </c>
      <c r="C622" s="42" t="s">
        <v>856</v>
      </c>
      <c r="D622" s="145">
        <v>646384550</v>
      </c>
      <c r="E622" s="42" t="s">
        <v>261</v>
      </c>
      <c r="F622" s="84">
        <v>33890</v>
      </c>
      <c r="G622" s="108" t="str">
        <f>CHOOSE(MONTH(F622),"Jan","Feb","Mar","Apr","May","Jun","Jul","Aug","Sep","Oct","Nov","Dec")</f>
        <v>Oct</v>
      </c>
      <c r="H622" s="54">
        <f ca="1">DATEDIF(F622,TODAY(),"Y")</f>
        <v>24</v>
      </c>
      <c r="I622" s="55" t="s">
        <v>283</v>
      </c>
      <c r="J622" s="56">
        <v>25885</v>
      </c>
      <c r="K622" s="57">
        <v>5</v>
      </c>
    </row>
    <row r="623" spans="1:11" x14ac:dyDescent="0.25">
      <c r="A623" s="42" t="s">
        <v>885</v>
      </c>
      <c r="B623" s="49" t="s">
        <v>271</v>
      </c>
      <c r="C623" s="42" t="s">
        <v>856</v>
      </c>
      <c r="D623" s="145">
        <v>607760668</v>
      </c>
      <c r="E623" s="42" t="s">
        <v>256</v>
      </c>
      <c r="F623" s="84">
        <v>35356</v>
      </c>
      <c r="G623" s="108" t="str">
        <f>CHOOSE(MONTH(F623),"Jan","Feb","Mar","Apr","May","Jun","Jul","Aug","Sep","Oct","Nov","Dec")</f>
        <v>Oct</v>
      </c>
      <c r="H623" s="54">
        <f ca="1">DATEDIF(F623,TODAY(),"Y")</f>
        <v>20</v>
      </c>
      <c r="I623" s="55" t="s">
        <v>262</v>
      </c>
      <c r="J623" s="56">
        <v>63030</v>
      </c>
      <c r="K623" s="57">
        <v>1</v>
      </c>
    </row>
    <row r="624" spans="1:11" x14ac:dyDescent="0.25">
      <c r="A624" s="42" t="s">
        <v>920</v>
      </c>
      <c r="B624" s="49" t="s">
        <v>280</v>
      </c>
      <c r="C624" s="42" t="s">
        <v>856</v>
      </c>
      <c r="D624" s="145">
        <v>618264331</v>
      </c>
      <c r="E624" s="42" t="s">
        <v>256</v>
      </c>
      <c r="F624" s="84">
        <v>35715</v>
      </c>
      <c r="G624" s="108" t="str">
        <f>CHOOSE(MONTH(F624),"Jan","Feb","Mar","Apr","May","Jun","Jul","Aug","Sep","Oct","Nov","Dec")</f>
        <v>Oct</v>
      </c>
      <c r="H624" s="54">
        <f ca="1">DATEDIF(F624,TODAY(),"Y")</f>
        <v>19</v>
      </c>
      <c r="I624" s="55" t="s">
        <v>283</v>
      </c>
      <c r="J624" s="56">
        <v>32120</v>
      </c>
      <c r="K624" s="57">
        <v>1</v>
      </c>
    </row>
    <row r="625" spans="1:11" x14ac:dyDescent="0.25">
      <c r="A625" s="42" t="s">
        <v>900</v>
      </c>
      <c r="B625" s="49" t="s">
        <v>245</v>
      </c>
      <c r="C625" s="42" t="s">
        <v>856</v>
      </c>
      <c r="D625" s="145">
        <v>230328613</v>
      </c>
      <c r="E625" s="42" t="s">
        <v>247</v>
      </c>
      <c r="F625" s="84">
        <v>36070</v>
      </c>
      <c r="G625" s="108" t="str">
        <f>CHOOSE(MONTH(F625),"Jan","Feb","Mar","Apr","May","Jun","Jul","Aug","Sep","Oct","Nov","Dec")</f>
        <v>Oct</v>
      </c>
      <c r="H625" s="54">
        <f ca="1">DATEDIF(F625,TODAY(),"Y")</f>
        <v>18</v>
      </c>
      <c r="I625" s="55"/>
      <c r="J625" s="56">
        <v>59050</v>
      </c>
      <c r="K625" s="57">
        <v>4</v>
      </c>
    </row>
    <row r="626" spans="1:11" x14ac:dyDescent="0.25">
      <c r="A626" s="42" t="s">
        <v>903</v>
      </c>
      <c r="B626" s="49" t="s">
        <v>271</v>
      </c>
      <c r="C626" s="42" t="s">
        <v>856</v>
      </c>
      <c r="D626" s="145">
        <v>797130365</v>
      </c>
      <c r="E626" s="42" t="s">
        <v>256</v>
      </c>
      <c r="F626" s="84">
        <v>36078</v>
      </c>
      <c r="G626" s="108" t="str">
        <f>CHOOSE(MONTH(F626),"Jan","Feb","Mar","Apr","May","Jun","Jul","Aug","Sep","Oct","Nov","Dec")</f>
        <v>Oct</v>
      </c>
      <c r="H626" s="54">
        <f ca="1">DATEDIF(F626,TODAY(),"Y")</f>
        <v>18</v>
      </c>
      <c r="I626" s="55" t="s">
        <v>276</v>
      </c>
      <c r="J626" s="56">
        <v>79610</v>
      </c>
      <c r="K626" s="57">
        <v>2</v>
      </c>
    </row>
    <row r="627" spans="1:11" x14ac:dyDescent="0.25">
      <c r="A627" s="42" t="s">
        <v>899</v>
      </c>
      <c r="B627" s="49" t="s">
        <v>245</v>
      </c>
      <c r="C627" s="42" t="s">
        <v>856</v>
      </c>
      <c r="D627" s="145">
        <v>706909447</v>
      </c>
      <c r="E627" s="42" t="s">
        <v>256</v>
      </c>
      <c r="F627" s="84">
        <v>36081</v>
      </c>
      <c r="G627" s="108" t="str">
        <f>CHOOSE(MONTH(F627),"Jan","Feb","Mar","Apr","May","Jun","Jul","Aug","Sep","Oct","Nov","Dec")</f>
        <v>Oct</v>
      </c>
      <c r="H627" s="54">
        <f ca="1">DATEDIF(F627,TODAY(),"Y")</f>
        <v>18</v>
      </c>
      <c r="I627" s="55" t="s">
        <v>283</v>
      </c>
      <c r="J627" s="56">
        <v>67407</v>
      </c>
      <c r="K627" s="57">
        <v>5</v>
      </c>
    </row>
    <row r="628" spans="1:11" x14ac:dyDescent="0.25">
      <c r="A628" s="42" t="s">
        <v>872</v>
      </c>
      <c r="B628" s="49" t="s">
        <v>285</v>
      </c>
      <c r="C628" s="42" t="s">
        <v>856</v>
      </c>
      <c r="D628" s="145">
        <v>540765423</v>
      </c>
      <c r="E628" s="42" t="s">
        <v>256</v>
      </c>
      <c r="F628" s="84">
        <v>39745</v>
      </c>
      <c r="G628" s="108" t="str">
        <f>CHOOSE(MONTH(F628),"Jan","Feb","Mar","Apr","May","Jun","Jul","Aug","Sep","Oct","Nov","Dec")</f>
        <v>Oct</v>
      </c>
      <c r="H628" s="54">
        <f ca="1">DATEDIF(F628,TODAY(),"Y")</f>
        <v>8</v>
      </c>
      <c r="I628" s="55" t="s">
        <v>283</v>
      </c>
      <c r="J628" s="56">
        <v>29330</v>
      </c>
      <c r="K628" s="57">
        <v>5</v>
      </c>
    </row>
    <row r="629" spans="1:11" x14ac:dyDescent="0.25">
      <c r="A629" s="42" t="s">
        <v>904</v>
      </c>
      <c r="B629" s="49" t="s">
        <v>266</v>
      </c>
      <c r="C629" s="42" t="s">
        <v>856</v>
      </c>
      <c r="D629" s="145">
        <v>480119569</v>
      </c>
      <c r="E629" s="42" t="s">
        <v>256</v>
      </c>
      <c r="F629" s="84">
        <v>33548</v>
      </c>
      <c r="G629" s="108" t="str">
        <f>CHOOSE(MONTH(F629),"Jan","Feb","Mar","Apr","May","Jun","Jul","Aug","Sep","Oct","Nov","Dec")</f>
        <v>Nov</v>
      </c>
      <c r="H629" s="54">
        <f ca="1">DATEDIF(F629,TODAY(),"Y")</f>
        <v>25</v>
      </c>
      <c r="I629" s="55" t="s">
        <v>283</v>
      </c>
      <c r="J629" s="56">
        <v>63050</v>
      </c>
      <c r="K629" s="57">
        <v>3</v>
      </c>
    </row>
    <row r="630" spans="1:11" x14ac:dyDescent="0.25">
      <c r="A630" s="42" t="s">
        <v>908</v>
      </c>
      <c r="B630" s="49" t="s">
        <v>285</v>
      </c>
      <c r="C630" s="42" t="s">
        <v>856</v>
      </c>
      <c r="D630" s="145">
        <v>361328372</v>
      </c>
      <c r="E630" s="42" t="s">
        <v>247</v>
      </c>
      <c r="F630" s="84">
        <v>33914</v>
      </c>
      <c r="G630" s="108" t="str">
        <f>CHOOSE(MONTH(F630),"Jan","Feb","Mar","Apr","May","Jun","Jul","Aug","Sep","Oct","Nov","Dec")</f>
        <v>Nov</v>
      </c>
      <c r="H630" s="54">
        <f ca="1">DATEDIF(F630,TODAY(),"Y")</f>
        <v>24</v>
      </c>
      <c r="I630" s="55"/>
      <c r="J630" s="56">
        <v>55690</v>
      </c>
      <c r="K630" s="57">
        <v>2</v>
      </c>
    </row>
    <row r="631" spans="1:11" x14ac:dyDescent="0.25">
      <c r="A631" s="42" t="s">
        <v>928</v>
      </c>
      <c r="B631" s="49" t="s">
        <v>271</v>
      </c>
      <c r="C631" s="42" t="s">
        <v>856</v>
      </c>
      <c r="D631" s="145">
        <v>845008485</v>
      </c>
      <c r="E631" s="42" t="s">
        <v>256</v>
      </c>
      <c r="F631" s="84">
        <v>34285</v>
      </c>
      <c r="G631" s="108" t="str">
        <f>CHOOSE(MONTH(F631),"Jan","Feb","Mar","Apr","May","Jun","Jul","Aug","Sep","Oct","Nov","Dec")</f>
        <v>Nov</v>
      </c>
      <c r="H631" s="54">
        <f ca="1">DATEDIF(F631,TODAY(),"Y")</f>
        <v>22</v>
      </c>
      <c r="I631" s="55" t="s">
        <v>267</v>
      </c>
      <c r="J631" s="56">
        <v>48490</v>
      </c>
      <c r="K631" s="57">
        <v>2</v>
      </c>
    </row>
    <row r="632" spans="1:11" x14ac:dyDescent="0.25">
      <c r="A632" s="42" t="s">
        <v>890</v>
      </c>
      <c r="B632" s="49" t="s">
        <v>271</v>
      </c>
      <c r="C632" s="42" t="s">
        <v>856</v>
      </c>
      <c r="D632" s="145">
        <v>264740780</v>
      </c>
      <c r="E632" s="42" t="s">
        <v>256</v>
      </c>
      <c r="F632" s="84">
        <v>35373</v>
      </c>
      <c r="G632" s="108" t="str">
        <f>CHOOSE(MONTH(F632),"Jan","Feb","Mar","Apr","May","Jun","Jul","Aug","Sep","Oct","Nov","Dec")</f>
        <v>Nov</v>
      </c>
      <c r="H632" s="54">
        <f ca="1">DATEDIF(F632,TODAY(),"Y")</f>
        <v>20</v>
      </c>
      <c r="I632" s="55" t="s">
        <v>283</v>
      </c>
      <c r="J632" s="56">
        <v>66440</v>
      </c>
      <c r="K632" s="57">
        <v>3</v>
      </c>
    </row>
    <row r="633" spans="1:11" x14ac:dyDescent="0.25">
      <c r="A633" s="42" t="s">
        <v>873</v>
      </c>
      <c r="B633" s="49" t="s">
        <v>285</v>
      </c>
      <c r="C633" s="42" t="s">
        <v>856</v>
      </c>
      <c r="D633" s="145">
        <v>619905912</v>
      </c>
      <c r="E633" s="42" t="s">
        <v>247</v>
      </c>
      <c r="F633" s="84">
        <v>36479</v>
      </c>
      <c r="G633" s="108" t="str">
        <f>CHOOSE(MONTH(F633),"Jan","Feb","Mar","Apr","May","Jun","Jul","Aug","Sep","Oct","Nov","Dec")</f>
        <v>Nov</v>
      </c>
      <c r="H633" s="54">
        <f ca="1">DATEDIF(F633,TODAY(),"Y")</f>
        <v>16</v>
      </c>
      <c r="I633" s="55"/>
      <c r="J633" s="56">
        <v>54840</v>
      </c>
      <c r="K633" s="57">
        <v>4</v>
      </c>
    </row>
    <row r="634" spans="1:11" x14ac:dyDescent="0.25">
      <c r="A634" s="42" t="s">
        <v>889</v>
      </c>
      <c r="B634" s="49" t="s">
        <v>285</v>
      </c>
      <c r="C634" s="42" t="s">
        <v>856</v>
      </c>
      <c r="D634" s="145">
        <v>152091002</v>
      </c>
      <c r="E634" s="42" t="s">
        <v>256</v>
      </c>
      <c r="F634" s="84">
        <v>33222</v>
      </c>
      <c r="G634" s="108" t="str">
        <f>CHOOSE(MONTH(F634),"Jan","Feb","Mar","Apr","May","Jun","Jul","Aug","Sep","Oct","Nov","Dec")</f>
        <v>Dec</v>
      </c>
      <c r="H634" s="54">
        <f ca="1">DATEDIF(F634,TODAY(),"Y")</f>
        <v>25</v>
      </c>
      <c r="I634" s="55" t="s">
        <v>257</v>
      </c>
      <c r="J634" s="56">
        <v>53900</v>
      </c>
      <c r="K634" s="57">
        <v>5</v>
      </c>
    </row>
    <row r="635" spans="1:11" x14ac:dyDescent="0.25">
      <c r="A635" s="42" t="s">
        <v>887</v>
      </c>
      <c r="B635" s="49" t="s">
        <v>266</v>
      </c>
      <c r="C635" s="42" t="s">
        <v>856</v>
      </c>
      <c r="D635" s="145">
        <v>644279793</v>
      </c>
      <c r="E635" s="42" t="s">
        <v>252</v>
      </c>
      <c r="F635" s="84">
        <v>35034</v>
      </c>
      <c r="G635" s="108" t="str">
        <f>CHOOSE(MONTH(F635),"Jan","Feb","Mar","Apr","May","Jun","Jul","Aug","Sep","Oct","Nov","Dec")</f>
        <v>Dec</v>
      </c>
      <c r="H635" s="54">
        <f ca="1">DATEDIF(F635,TODAY(),"Y")</f>
        <v>20</v>
      </c>
      <c r="I635" s="55"/>
      <c r="J635" s="56">
        <v>23692</v>
      </c>
      <c r="K635" s="57">
        <v>4</v>
      </c>
    </row>
    <row r="636" spans="1:11" x14ac:dyDescent="0.25">
      <c r="A636" s="42" t="s">
        <v>861</v>
      </c>
      <c r="B636" s="49" t="s">
        <v>271</v>
      </c>
      <c r="C636" s="42" t="s">
        <v>856</v>
      </c>
      <c r="D636" s="145">
        <v>395413381</v>
      </c>
      <c r="E636" s="42" t="s">
        <v>252</v>
      </c>
      <c r="F636" s="84">
        <v>35402</v>
      </c>
      <c r="G636" s="108" t="str">
        <f>CHOOSE(MONTH(F636),"Jan","Feb","Mar","Apr","May","Jun","Jul","Aug","Sep","Oct","Nov","Dec")</f>
        <v>Dec</v>
      </c>
      <c r="H636" s="54">
        <f ca="1">DATEDIF(F636,TODAY(),"Y")</f>
        <v>19</v>
      </c>
      <c r="I636" s="55"/>
      <c r="J636" s="56">
        <v>33508</v>
      </c>
      <c r="K636" s="57">
        <v>4</v>
      </c>
    </row>
    <row r="637" spans="1:11" x14ac:dyDescent="0.25">
      <c r="A637" s="42" t="s">
        <v>924</v>
      </c>
      <c r="B637" s="49" t="s">
        <v>285</v>
      </c>
      <c r="C637" s="42" t="s">
        <v>856</v>
      </c>
      <c r="D637" s="145">
        <v>746970417</v>
      </c>
      <c r="E637" s="42" t="s">
        <v>256</v>
      </c>
      <c r="F637" s="84">
        <v>35408</v>
      </c>
      <c r="G637" s="108" t="str">
        <f>CHOOSE(MONTH(F637),"Jan","Feb","Mar","Apr","May","Jun","Jul","Aug","Sep","Oct","Nov","Dec")</f>
        <v>Dec</v>
      </c>
      <c r="H637" s="54">
        <f ca="1">DATEDIF(F637,TODAY(),"Y")</f>
        <v>19</v>
      </c>
      <c r="I637" s="55" t="s">
        <v>283</v>
      </c>
      <c r="J637" s="56">
        <v>34330</v>
      </c>
      <c r="K637" s="57">
        <v>3</v>
      </c>
    </row>
    <row r="638" spans="1:11" x14ac:dyDescent="0.25">
      <c r="A638" s="42" t="s">
        <v>862</v>
      </c>
      <c r="B638" s="49" t="s">
        <v>266</v>
      </c>
      <c r="C638" s="42" t="s">
        <v>856</v>
      </c>
      <c r="D638" s="145">
        <v>785471565</v>
      </c>
      <c r="E638" s="42" t="s">
        <v>256</v>
      </c>
      <c r="F638" s="84">
        <v>36514</v>
      </c>
      <c r="G638" s="108" t="str">
        <f>CHOOSE(MONTH(F638),"Jan","Feb","Mar","Apr","May","Jun","Jul","Aug","Sep","Oct","Nov","Dec")</f>
        <v>Dec</v>
      </c>
      <c r="H638" s="54">
        <f ca="1">DATEDIF(F638,TODAY(),"Y")</f>
        <v>16</v>
      </c>
      <c r="I638" s="55" t="s">
        <v>283</v>
      </c>
      <c r="J638" s="56">
        <v>48250</v>
      </c>
      <c r="K638" s="57">
        <v>3</v>
      </c>
    </row>
    <row r="639" spans="1:11" x14ac:dyDescent="0.25">
      <c r="A639" s="42" t="s">
        <v>952</v>
      </c>
      <c r="B639" s="49" t="s">
        <v>285</v>
      </c>
      <c r="C639" s="42" t="s">
        <v>930</v>
      </c>
      <c r="D639" s="145">
        <v>531015728</v>
      </c>
      <c r="E639" s="42" t="s">
        <v>247</v>
      </c>
      <c r="F639" s="84">
        <v>33974</v>
      </c>
      <c r="G639" s="108" t="str">
        <f>CHOOSE(MONTH(F639),"Jan","Feb","Mar","Apr","May","Jun","Jul","Aug","Sep","Oct","Nov","Dec")</f>
        <v>Jan</v>
      </c>
      <c r="H639" s="54">
        <f ca="1">DATEDIF(F639,TODAY(),"Y")</f>
        <v>23</v>
      </c>
      <c r="I639" s="55"/>
      <c r="J639" s="56">
        <v>70150</v>
      </c>
      <c r="K639" s="57">
        <v>2</v>
      </c>
    </row>
    <row r="640" spans="1:11" x14ac:dyDescent="0.25">
      <c r="A640" s="42" t="s">
        <v>1002</v>
      </c>
      <c r="B640" s="49" t="s">
        <v>271</v>
      </c>
      <c r="C640" s="42" t="s">
        <v>930</v>
      </c>
      <c r="D640" s="145">
        <v>352099951</v>
      </c>
      <c r="E640" s="42" t="s">
        <v>247</v>
      </c>
      <c r="F640" s="84">
        <v>33977</v>
      </c>
      <c r="G640" s="108" t="str">
        <f>CHOOSE(MONTH(F640),"Jan","Feb","Mar","Apr","May","Jun","Jul","Aug","Sep","Oct","Nov","Dec")</f>
        <v>Jan</v>
      </c>
      <c r="H640" s="54">
        <f ca="1">DATEDIF(F640,TODAY(),"Y")</f>
        <v>23</v>
      </c>
      <c r="I640" s="55"/>
      <c r="J640" s="56">
        <v>63290</v>
      </c>
      <c r="K640" s="57">
        <v>5</v>
      </c>
    </row>
    <row r="641" spans="1:11" x14ac:dyDescent="0.25">
      <c r="A641" s="42" t="s">
        <v>954</v>
      </c>
      <c r="B641" s="49" t="s">
        <v>280</v>
      </c>
      <c r="C641" s="42" t="s">
        <v>930</v>
      </c>
      <c r="D641" s="145">
        <v>760635495</v>
      </c>
      <c r="E641" s="42" t="s">
        <v>256</v>
      </c>
      <c r="F641" s="84">
        <v>33978</v>
      </c>
      <c r="G641" s="108" t="str">
        <f>CHOOSE(MONTH(F641),"Jan","Feb","Mar","Apr","May","Jun","Jul","Aug","Sep","Oct","Nov","Dec")</f>
        <v>Jan</v>
      </c>
      <c r="H641" s="54">
        <f ca="1">DATEDIF(F641,TODAY(),"Y")</f>
        <v>23</v>
      </c>
      <c r="I641" s="55" t="s">
        <v>283</v>
      </c>
      <c r="J641" s="56">
        <v>46410</v>
      </c>
      <c r="K641" s="57">
        <v>2</v>
      </c>
    </row>
    <row r="642" spans="1:11" x14ac:dyDescent="0.25">
      <c r="A642" s="42" t="s">
        <v>974</v>
      </c>
      <c r="B642" s="49" t="s">
        <v>271</v>
      </c>
      <c r="C642" s="42" t="s">
        <v>930</v>
      </c>
      <c r="D642" s="145">
        <v>607570087</v>
      </c>
      <c r="E642" s="42" t="s">
        <v>247</v>
      </c>
      <c r="F642" s="84">
        <v>34723</v>
      </c>
      <c r="G642" s="108" t="str">
        <f>CHOOSE(MONTH(F642),"Jan","Feb","Mar","Apr","May","Jun","Jul","Aug","Sep","Oct","Nov","Dec")</f>
        <v>Jan</v>
      </c>
      <c r="H642" s="54">
        <f ca="1">DATEDIF(F642,TODAY(),"Y")</f>
        <v>21</v>
      </c>
      <c r="I642" s="55"/>
      <c r="J642" s="56">
        <v>64263</v>
      </c>
      <c r="K642" s="57">
        <v>3</v>
      </c>
    </row>
    <row r="643" spans="1:11" x14ac:dyDescent="0.25">
      <c r="A643" s="42" t="s">
        <v>929</v>
      </c>
      <c r="B643" s="49" t="s">
        <v>285</v>
      </c>
      <c r="C643" s="42" t="s">
        <v>930</v>
      </c>
      <c r="D643" s="145">
        <v>617056019</v>
      </c>
      <c r="E643" s="42" t="s">
        <v>247</v>
      </c>
      <c r="F643" s="84">
        <v>35826</v>
      </c>
      <c r="G643" s="108" t="str">
        <f>CHOOSE(MONTH(F643),"Jan","Feb","Mar","Apr","May","Jun","Jul","Aug","Sep","Oct","Nov","Dec")</f>
        <v>Jan</v>
      </c>
      <c r="H643" s="54">
        <f ca="1">DATEDIF(F643,TODAY(),"Y")</f>
        <v>18</v>
      </c>
      <c r="I643" s="55"/>
      <c r="J643" s="56">
        <v>45030</v>
      </c>
      <c r="K643" s="57">
        <v>3</v>
      </c>
    </row>
    <row r="644" spans="1:11" x14ac:dyDescent="0.25">
      <c r="A644" s="42" t="s">
        <v>931</v>
      </c>
      <c r="B644" s="49" t="s">
        <v>285</v>
      </c>
      <c r="C644" s="42" t="s">
        <v>930</v>
      </c>
      <c r="D644" s="145">
        <v>558379204</v>
      </c>
      <c r="E644" s="42" t="s">
        <v>256</v>
      </c>
      <c r="F644" s="84">
        <v>36549</v>
      </c>
      <c r="G644" s="108" t="str">
        <f>CHOOSE(MONTH(F644),"Jan","Feb","Mar","Apr","May","Jun","Jul","Aug","Sep","Oct","Nov","Dec")</f>
        <v>Jan</v>
      </c>
      <c r="H644" s="54">
        <f ca="1">DATEDIF(F644,TODAY(),"Y")</f>
        <v>16</v>
      </c>
      <c r="I644" s="55" t="s">
        <v>283</v>
      </c>
      <c r="J644" s="56">
        <v>35460</v>
      </c>
      <c r="K644" s="57">
        <v>1</v>
      </c>
    </row>
    <row r="645" spans="1:11" x14ac:dyDescent="0.25">
      <c r="A645" s="42" t="s">
        <v>999</v>
      </c>
      <c r="B645" s="49" t="s">
        <v>285</v>
      </c>
      <c r="C645" s="42" t="s">
        <v>930</v>
      </c>
      <c r="D645" s="145">
        <v>636155403</v>
      </c>
      <c r="E645" s="42" t="s">
        <v>261</v>
      </c>
      <c r="F645" s="84">
        <v>36918</v>
      </c>
      <c r="G645" s="108" t="str">
        <f>CHOOSE(MONTH(F645),"Jan","Feb","Mar","Apr","May","Jun","Jul","Aug","Sep","Oct","Nov","Dec")</f>
        <v>Jan</v>
      </c>
      <c r="H645" s="54">
        <f ca="1">DATEDIF(F645,TODAY(),"Y")</f>
        <v>15</v>
      </c>
      <c r="I645" s="55" t="s">
        <v>257</v>
      </c>
      <c r="J645" s="56">
        <v>17205</v>
      </c>
      <c r="K645" s="57">
        <v>5</v>
      </c>
    </row>
    <row r="646" spans="1:11" x14ac:dyDescent="0.25">
      <c r="A646" s="42" t="s">
        <v>973</v>
      </c>
      <c r="B646" s="49" t="s">
        <v>285</v>
      </c>
      <c r="C646" s="42" t="s">
        <v>930</v>
      </c>
      <c r="D646" s="145">
        <v>132170760</v>
      </c>
      <c r="E646" s="42" t="s">
        <v>247</v>
      </c>
      <c r="F646" s="106">
        <v>40563</v>
      </c>
      <c r="G646" s="108" t="str">
        <f>CHOOSE(MONTH(F646),"Jan","Feb","Mar","Apr","May","Jun","Jul","Aug","Sep","Oct","Nov","Dec")</f>
        <v>Jan</v>
      </c>
      <c r="H646" s="54">
        <f ca="1">DATEDIF(F646,TODAY(),"Y")</f>
        <v>5</v>
      </c>
      <c r="I646" s="55"/>
      <c r="J646" s="56">
        <v>55510</v>
      </c>
      <c r="K646" s="57">
        <v>3</v>
      </c>
    </row>
    <row r="647" spans="1:11" x14ac:dyDescent="0.25">
      <c r="A647" s="42" t="s">
        <v>1014</v>
      </c>
      <c r="B647" s="49" t="s">
        <v>285</v>
      </c>
      <c r="C647" s="42" t="s">
        <v>930</v>
      </c>
      <c r="D647" s="145">
        <v>911819228</v>
      </c>
      <c r="E647" s="42" t="s">
        <v>256</v>
      </c>
      <c r="F647" s="84">
        <v>40568</v>
      </c>
      <c r="G647" s="108" t="str">
        <f>CHOOSE(MONTH(F647),"Jan","Feb","Mar","Apr","May","Jun","Jul","Aug","Sep","Oct","Nov","Dec")</f>
        <v>Jan</v>
      </c>
      <c r="H647" s="54">
        <f ca="1">DATEDIF(F647,TODAY(),"Y")</f>
        <v>5</v>
      </c>
      <c r="I647" s="55" t="s">
        <v>257</v>
      </c>
      <c r="J647" s="56">
        <v>46390</v>
      </c>
      <c r="K647" s="57">
        <v>5</v>
      </c>
    </row>
    <row r="648" spans="1:11" x14ac:dyDescent="0.25">
      <c r="A648" s="42" t="s">
        <v>978</v>
      </c>
      <c r="B648" s="49" t="s">
        <v>271</v>
      </c>
      <c r="C648" s="42" t="s">
        <v>930</v>
      </c>
      <c r="D648" s="145">
        <v>238707474</v>
      </c>
      <c r="E648" s="42" t="s">
        <v>256</v>
      </c>
      <c r="F648" s="84">
        <v>33279</v>
      </c>
      <c r="G648" s="108" t="str">
        <f>CHOOSE(MONTH(F648),"Jan","Feb","Mar","Apr","May","Jun","Jul","Aug","Sep","Oct","Nov","Dec")</f>
        <v>Feb</v>
      </c>
      <c r="H648" s="54">
        <f ca="1">DATEDIF(F648,TODAY(),"Y")</f>
        <v>25</v>
      </c>
      <c r="I648" s="55" t="s">
        <v>257</v>
      </c>
      <c r="J648" s="56">
        <v>24200</v>
      </c>
      <c r="K648" s="57">
        <v>5</v>
      </c>
    </row>
    <row r="649" spans="1:11" x14ac:dyDescent="0.25">
      <c r="A649" s="42" t="s">
        <v>1012</v>
      </c>
      <c r="B649" s="49" t="s">
        <v>285</v>
      </c>
      <c r="C649" s="42" t="s">
        <v>930</v>
      </c>
      <c r="D649" s="145">
        <v>996832302</v>
      </c>
      <c r="E649" s="42" t="s">
        <v>261</v>
      </c>
      <c r="F649" s="84">
        <v>34005</v>
      </c>
      <c r="G649" s="108" t="str">
        <f>CHOOSE(MONTH(F649),"Jan","Feb","Mar","Apr","May","Jun","Jul","Aug","Sep","Oct","Nov","Dec")</f>
        <v>Feb</v>
      </c>
      <c r="H649" s="54">
        <f ca="1">DATEDIF(F649,TODAY(),"Y")</f>
        <v>23</v>
      </c>
      <c r="I649" s="55" t="s">
        <v>257</v>
      </c>
      <c r="J649" s="56">
        <v>19935</v>
      </c>
      <c r="K649" s="57">
        <v>1</v>
      </c>
    </row>
    <row r="650" spans="1:11" x14ac:dyDescent="0.25">
      <c r="A650" s="42" t="s">
        <v>966</v>
      </c>
      <c r="B650" s="49" t="s">
        <v>285</v>
      </c>
      <c r="C650" s="42" t="s">
        <v>930</v>
      </c>
      <c r="D650" s="145">
        <v>129378102</v>
      </c>
      <c r="E650" s="42" t="s">
        <v>261</v>
      </c>
      <c r="F650" s="84">
        <v>35466</v>
      </c>
      <c r="G650" s="108" t="str">
        <f>CHOOSE(MONTH(F650),"Jan","Feb","Mar","Apr","May","Jun","Jul","Aug","Sep","Oct","Nov","Dec")</f>
        <v>Feb</v>
      </c>
      <c r="H650" s="54">
        <f ca="1">DATEDIF(F650,TODAY(),"Y")</f>
        <v>19</v>
      </c>
      <c r="I650" s="55" t="s">
        <v>262</v>
      </c>
      <c r="J650" s="56">
        <v>37660</v>
      </c>
      <c r="K650" s="57">
        <v>4</v>
      </c>
    </row>
    <row r="651" spans="1:11" x14ac:dyDescent="0.25">
      <c r="A651" s="42" t="s">
        <v>934</v>
      </c>
      <c r="B651" s="49" t="s">
        <v>245</v>
      </c>
      <c r="C651" s="42" t="s">
        <v>930</v>
      </c>
      <c r="D651" s="145">
        <v>128951509</v>
      </c>
      <c r="E651" s="42" t="s">
        <v>247</v>
      </c>
      <c r="F651" s="84">
        <v>36193</v>
      </c>
      <c r="G651" s="108" t="str">
        <f>CHOOSE(MONTH(F651),"Jan","Feb","Mar","Apr","May","Jun","Jul","Aug","Sep","Oct","Nov","Dec")</f>
        <v>Feb</v>
      </c>
      <c r="H651" s="54">
        <f ca="1">DATEDIF(F651,TODAY(),"Y")</f>
        <v>17</v>
      </c>
      <c r="I651" s="55"/>
      <c r="J651" s="56">
        <v>58250</v>
      </c>
      <c r="K651" s="57">
        <v>2</v>
      </c>
    </row>
    <row r="652" spans="1:11" x14ac:dyDescent="0.25">
      <c r="A652" s="42" t="s">
        <v>949</v>
      </c>
      <c r="B652" s="49" t="s">
        <v>285</v>
      </c>
      <c r="C652" s="42" t="s">
        <v>930</v>
      </c>
      <c r="D652" s="145">
        <v>218107434</v>
      </c>
      <c r="E652" s="42" t="s">
        <v>247</v>
      </c>
      <c r="F652" s="84">
        <v>40235</v>
      </c>
      <c r="G652" s="108" t="str">
        <f>CHOOSE(MONTH(F652),"Jan","Feb","Mar","Apr","May","Jun","Jul","Aug","Sep","Oct","Nov","Dec")</f>
        <v>Feb</v>
      </c>
      <c r="H652" s="54">
        <f ca="1">DATEDIF(F652,TODAY(),"Y")</f>
        <v>6</v>
      </c>
      <c r="I652" s="55"/>
      <c r="J652" s="56">
        <v>80729</v>
      </c>
      <c r="K652" s="57">
        <v>3</v>
      </c>
    </row>
    <row r="653" spans="1:11" x14ac:dyDescent="0.25">
      <c r="A653" s="42" t="s">
        <v>980</v>
      </c>
      <c r="B653" s="49" t="s">
        <v>285</v>
      </c>
      <c r="C653" s="42" t="s">
        <v>930</v>
      </c>
      <c r="D653" s="145">
        <v>499586882</v>
      </c>
      <c r="E653" s="42" t="s">
        <v>256</v>
      </c>
      <c r="F653" s="84">
        <v>33681</v>
      </c>
      <c r="G653" s="108" t="str">
        <f>CHOOSE(MONTH(F653),"Jan","Feb","Mar","Apr","May","Jun","Jul","Aug","Sep","Oct","Nov","Dec")</f>
        <v>Mar</v>
      </c>
      <c r="H653" s="54">
        <f ca="1">DATEDIF(F653,TODAY(),"Y")</f>
        <v>24</v>
      </c>
      <c r="I653" s="55" t="s">
        <v>262</v>
      </c>
      <c r="J653" s="56">
        <v>46550</v>
      </c>
      <c r="K653" s="57">
        <v>4</v>
      </c>
    </row>
    <row r="654" spans="1:11" x14ac:dyDescent="0.25">
      <c r="A654" s="42" t="s">
        <v>987</v>
      </c>
      <c r="B654" s="49" t="s">
        <v>271</v>
      </c>
      <c r="C654" s="42" t="s">
        <v>930</v>
      </c>
      <c r="D654" s="145">
        <v>464496425</v>
      </c>
      <c r="E654" s="42" t="s">
        <v>261</v>
      </c>
      <c r="F654" s="84">
        <v>34042</v>
      </c>
      <c r="G654" s="108" t="str">
        <f>CHOOSE(MONTH(F654),"Jan","Feb","Mar","Apr","May","Jun","Jul","Aug","Sep","Oct","Nov","Dec")</f>
        <v>Mar</v>
      </c>
      <c r="H654" s="54">
        <f ca="1">DATEDIF(F654,TODAY(),"Y")</f>
        <v>23</v>
      </c>
      <c r="I654" s="55" t="s">
        <v>267</v>
      </c>
      <c r="J654" s="56">
        <v>27710</v>
      </c>
      <c r="K654" s="57">
        <v>3</v>
      </c>
    </row>
    <row r="655" spans="1:11" x14ac:dyDescent="0.25">
      <c r="A655" s="42" t="s">
        <v>1000</v>
      </c>
      <c r="B655" s="49" t="s">
        <v>285</v>
      </c>
      <c r="C655" s="42" t="s">
        <v>930</v>
      </c>
      <c r="D655" s="145">
        <v>478066038</v>
      </c>
      <c r="E655" s="42" t="s">
        <v>256</v>
      </c>
      <c r="F655" s="84">
        <v>35137</v>
      </c>
      <c r="G655" s="108" t="str">
        <f>CHOOSE(MONTH(F655),"Jan","Feb","Mar","Apr","May","Jun","Jul","Aug","Sep","Oct","Nov","Dec")</f>
        <v>Mar</v>
      </c>
      <c r="H655" s="54">
        <f ca="1">DATEDIF(F655,TODAY(),"Y")</f>
        <v>20</v>
      </c>
      <c r="I655" s="55" t="s">
        <v>283</v>
      </c>
      <c r="J655" s="56">
        <v>33590</v>
      </c>
      <c r="K655" s="57">
        <v>5</v>
      </c>
    </row>
    <row r="656" spans="1:11" x14ac:dyDescent="0.25">
      <c r="A656" s="42" t="s">
        <v>977</v>
      </c>
      <c r="B656" s="49" t="s">
        <v>245</v>
      </c>
      <c r="C656" s="42" t="s">
        <v>930</v>
      </c>
      <c r="D656" s="145">
        <v>843377360</v>
      </c>
      <c r="E656" s="42" t="s">
        <v>261</v>
      </c>
      <c r="F656" s="84">
        <v>35518</v>
      </c>
      <c r="G656" s="108" t="str">
        <f>CHOOSE(MONTH(F656),"Jan","Feb","Mar","Apr","May","Jun","Jul","Aug","Sep","Oct","Nov","Dec")</f>
        <v>Mar</v>
      </c>
      <c r="H656" s="54">
        <f ca="1">DATEDIF(F656,TODAY(),"Y")</f>
        <v>19</v>
      </c>
      <c r="I656" s="55" t="s">
        <v>262</v>
      </c>
      <c r="J656" s="56">
        <v>13690</v>
      </c>
      <c r="K656" s="57">
        <v>5</v>
      </c>
    </row>
    <row r="657" spans="1:11" x14ac:dyDescent="0.25">
      <c r="A657" s="42" t="s">
        <v>996</v>
      </c>
      <c r="B657" s="49" t="s">
        <v>280</v>
      </c>
      <c r="C657" s="42" t="s">
        <v>930</v>
      </c>
      <c r="D657" s="145">
        <v>903395858</v>
      </c>
      <c r="E657" s="42" t="s">
        <v>256</v>
      </c>
      <c r="F657" s="84">
        <v>36243</v>
      </c>
      <c r="G657" s="108" t="str">
        <f>CHOOSE(MONTH(F657),"Jan","Feb","Mar","Apr","May","Jun","Jul","Aug","Sep","Oct","Nov","Dec")</f>
        <v>Mar</v>
      </c>
      <c r="H657" s="54">
        <f ca="1">DATEDIF(F657,TODAY(),"Y")</f>
        <v>17</v>
      </c>
      <c r="I657" s="55" t="s">
        <v>276</v>
      </c>
      <c r="J657" s="56">
        <v>77680</v>
      </c>
      <c r="K657" s="57">
        <v>3</v>
      </c>
    </row>
    <row r="658" spans="1:11" x14ac:dyDescent="0.25">
      <c r="A658" s="42" t="s">
        <v>945</v>
      </c>
      <c r="B658" s="49" t="s">
        <v>285</v>
      </c>
      <c r="C658" s="42" t="s">
        <v>930</v>
      </c>
      <c r="D658" s="145">
        <v>842823697</v>
      </c>
      <c r="E658" s="42" t="s">
        <v>256</v>
      </c>
      <c r="F658" s="84">
        <v>36956</v>
      </c>
      <c r="G658" s="108" t="str">
        <f>CHOOSE(MONTH(F658),"Jan","Feb","Mar","Apr","May","Jun","Jul","Aug","Sep","Oct","Nov","Dec")</f>
        <v>Mar</v>
      </c>
      <c r="H658" s="54">
        <f ca="1">DATEDIF(F658,TODAY(),"Y")</f>
        <v>15</v>
      </c>
      <c r="I658" s="55" t="s">
        <v>276</v>
      </c>
      <c r="J658" s="56">
        <v>49930</v>
      </c>
      <c r="K658" s="57">
        <v>1</v>
      </c>
    </row>
    <row r="659" spans="1:11" x14ac:dyDescent="0.25">
      <c r="A659" s="42" t="s">
        <v>958</v>
      </c>
      <c r="B659" s="49" t="s">
        <v>285</v>
      </c>
      <c r="C659" s="42" t="s">
        <v>930</v>
      </c>
      <c r="D659" s="145">
        <v>566753458</v>
      </c>
      <c r="E659" s="42" t="s">
        <v>256</v>
      </c>
      <c r="F659" s="84">
        <v>36967</v>
      </c>
      <c r="G659" s="108" t="str">
        <f>CHOOSE(MONTH(F659),"Jan","Feb","Mar","Apr","May","Jun","Jul","Aug","Sep","Oct","Nov","Dec")</f>
        <v>Mar</v>
      </c>
      <c r="H659" s="54">
        <f ca="1">DATEDIF(F659,TODAY(),"Y")</f>
        <v>15</v>
      </c>
      <c r="I659" s="55" t="s">
        <v>257</v>
      </c>
      <c r="J659" s="56">
        <v>63060</v>
      </c>
      <c r="K659" s="57">
        <v>4</v>
      </c>
    </row>
    <row r="660" spans="1:11" x14ac:dyDescent="0.25">
      <c r="A660" s="42" t="s">
        <v>967</v>
      </c>
      <c r="B660" s="49" t="s">
        <v>280</v>
      </c>
      <c r="C660" s="42" t="s">
        <v>930</v>
      </c>
      <c r="D660" s="145">
        <v>569148272</v>
      </c>
      <c r="E660" s="42" t="s">
        <v>247</v>
      </c>
      <c r="F660" s="84">
        <v>38438</v>
      </c>
      <c r="G660" s="108" t="str">
        <f>CHOOSE(MONTH(F660),"Jan","Feb","Mar","Apr","May","Jun","Jul","Aug","Sep","Oct","Nov","Dec")</f>
        <v>Mar</v>
      </c>
      <c r="H660" s="54">
        <f ca="1">DATEDIF(F660,TODAY(),"Y")</f>
        <v>11</v>
      </c>
      <c r="I660" s="55"/>
      <c r="J660" s="56">
        <v>32880</v>
      </c>
      <c r="K660" s="57">
        <v>3</v>
      </c>
    </row>
    <row r="661" spans="1:11" x14ac:dyDescent="0.25">
      <c r="A661" s="42" t="s">
        <v>993</v>
      </c>
      <c r="B661" s="49" t="s">
        <v>280</v>
      </c>
      <c r="C661" s="42" t="s">
        <v>930</v>
      </c>
      <c r="D661" s="145">
        <v>474191337</v>
      </c>
      <c r="E661" s="42" t="s">
        <v>256</v>
      </c>
      <c r="F661" s="84">
        <v>39171</v>
      </c>
      <c r="G661" s="108" t="str">
        <f>CHOOSE(MONTH(F661),"Jan","Feb","Mar","Apr","May","Jun","Jul","Aug","Sep","Oct","Nov","Dec")</f>
        <v>Mar</v>
      </c>
      <c r="H661" s="54">
        <f ca="1">DATEDIF(F661,TODAY(),"Y")</f>
        <v>9</v>
      </c>
      <c r="I661" s="55" t="s">
        <v>267</v>
      </c>
      <c r="J661" s="56">
        <v>25690</v>
      </c>
      <c r="K661" s="57">
        <v>2</v>
      </c>
    </row>
    <row r="662" spans="1:11" x14ac:dyDescent="0.25">
      <c r="A662" s="42" t="s">
        <v>1023</v>
      </c>
      <c r="B662" s="49" t="s">
        <v>280</v>
      </c>
      <c r="C662" s="42" t="s">
        <v>930</v>
      </c>
      <c r="D662" s="145">
        <v>124048112</v>
      </c>
      <c r="E662" s="42" t="s">
        <v>261</v>
      </c>
      <c r="F662" s="84">
        <v>39535</v>
      </c>
      <c r="G662" s="108" t="str">
        <f>CHOOSE(MONTH(F662),"Jan","Feb","Mar","Apr","May","Jun","Jul","Aug","Sep","Oct","Nov","Dec")</f>
        <v>Mar</v>
      </c>
      <c r="H662" s="54">
        <f ca="1">DATEDIF(F662,TODAY(),"Y")</f>
        <v>8</v>
      </c>
      <c r="I662" s="55" t="s">
        <v>276</v>
      </c>
      <c r="J662" s="56">
        <v>49080</v>
      </c>
      <c r="K662" s="57">
        <v>5</v>
      </c>
    </row>
    <row r="663" spans="1:11" x14ac:dyDescent="0.25">
      <c r="A663" s="42" t="s">
        <v>1004</v>
      </c>
      <c r="B663" s="49" t="s">
        <v>271</v>
      </c>
      <c r="C663" s="42" t="s">
        <v>930</v>
      </c>
      <c r="D663" s="145">
        <v>874943723</v>
      </c>
      <c r="E663" s="42" t="s">
        <v>256</v>
      </c>
      <c r="F663" s="84">
        <v>34425</v>
      </c>
      <c r="G663" s="108" t="str">
        <f>CHOOSE(MONTH(F663),"Jan","Feb","Mar","Apr","May","Jun","Jul","Aug","Sep","Oct","Nov","Dec")</f>
        <v>Apr</v>
      </c>
      <c r="H663" s="54">
        <f ca="1">DATEDIF(F663,TODAY(),"Y")</f>
        <v>22</v>
      </c>
      <c r="I663" s="55" t="s">
        <v>283</v>
      </c>
      <c r="J663" s="56">
        <v>73850</v>
      </c>
      <c r="K663" s="57">
        <v>2</v>
      </c>
    </row>
    <row r="664" spans="1:11" x14ac:dyDescent="0.25">
      <c r="A664" s="42" t="s">
        <v>1020</v>
      </c>
      <c r="B664" s="49" t="s">
        <v>285</v>
      </c>
      <c r="C664" s="42" t="s">
        <v>930</v>
      </c>
      <c r="D664" s="145">
        <v>521441612</v>
      </c>
      <c r="E664" s="42" t="s">
        <v>256</v>
      </c>
      <c r="F664" s="84">
        <v>36619</v>
      </c>
      <c r="G664" s="108" t="str">
        <f>CHOOSE(MONTH(F664),"Jan","Feb","Mar","Apr","May","Jun","Jul","Aug","Sep","Oct","Nov","Dec")</f>
        <v>Apr</v>
      </c>
      <c r="H664" s="54">
        <f ca="1">DATEDIF(F664,TODAY(),"Y")</f>
        <v>16</v>
      </c>
      <c r="I664" s="55" t="s">
        <v>262</v>
      </c>
      <c r="J664" s="56">
        <v>71970</v>
      </c>
      <c r="K664" s="57">
        <v>4</v>
      </c>
    </row>
    <row r="665" spans="1:11" x14ac:dyDescent="0.25">
      <c r="A665" s="42" t="s">
        <v>998</v>
      </c>
      <c r="B665" s="49" t="s">
        <v>251</v>
      </c>
      <c r="C665" s="42" t="s">
        <v>930</v>
      </c>
      <c r="D665" s="145">
        <v>588691961</v>
      </c>
      <c r="E665" s="42" t="s">
        <v>256</v>
      </c>
      <c r="F665" s="84">
        <v>37009</v>
      </c>
      <c r="G665" s="108" t="str">
        <f>CHOOSE(MONTH(F665),"Jan","Feb","Mar","Apr","May","Jun","Jul","Aug","Sep","Oct","Nov","Dec")</f>
        <v>Apr</v>
      </c>
      <c r="H665" s="54">
        <f ca="1">DATEDIF(F665,TODAY(),"Y")</f>
        <v>15</v>
      </c>
      <c r="I665" s="55" t="s">
        <v>283</v>
      </c>
      <c r="J665" s="56">
        <v>78710</v>
      </c>
      <c r="K665" s="57">
        <v>2</v>
      </c>
    </row>
    <row r="666" spans="1:11" x14ac:dyDescent="0.25">
      <c r="A666" s="42" t="s">
        <v>970</v>
      </c>
      <c r="B666" s="49" t="s">
        <v>271</v>
      </c>
      <c r="C666" s="42" t="s">
        <v>930</v>
      </c>
      <c r="D666" s="145">
        <v>884829416</v>
      </c>
      <c r="E666" s="42" t="s">
        <v>256</v>
      </c>
      <c r="F666" s="84">
        <v>40637</v>
      </c>
      <c r="G666" s="108" t="str">
        <f>CHOOSE(MONTH(F666),"Jan","Feb","Mar","Apr","May","Jun","Jul","Aug","Sep","Oct","Nov","Dec")</f>
        <v>Apr</v>
      </c>
      <c r="H666" s="54">
        <f ca="1">DATEDIF(F666,TODAY(),"Y")</f>
        <v>5</v>
      </c>
      <c r="I666" s="55" t="s">
        <v>257</v>
      </c>
      <c r="J666" s="56">
        <v>86640</v>
      </c>
      <c r="K666" s="57">
        <v>3</v>
      </c>
    </row>
    <row r="667" spans="1:11" x14ac:dyDescent="0.25">
      <c r="A667" s="42" t="s">
        <v>939</v>
      </c>
      <c r="B667" s="49" t="s">
        <v>251</v>
      </c>
      <c r="C667" s="42" t="s">
        <v>930</v>
      </c>
      <c r="D667" s="145">
        <v>466822677</v>
      </c>
      <c r="E667" s="42" t="s">
        <v>247</v>
      </c>
      <c r="F667" s="106">
        <v>40638</v>
      </c>
      <c r="G667" s="108" t="str">
        <f>CHOOSE(MONTH(F667),"Jan","Feb","Mar","Apr","May","Jun","Jul","Aug","Sep","Oct","Nov","Dec")</f>
        <v>Apr</v>
      </c>
      <c r="H667" s="54">
        <f ca="1">DATEDIF(F667,TODAY(),"Y")</f>
        <v>5</v>
      </c>
      <c r="I667" s="55"/>
      <c r="J667" s="56">
        <v>42990</v>
      </c>
      <c r="K667" s="57">
        <v>4</v>
      </c>
    </row>
    <row r="668" spans="1:11" x14ac:dyDescent="0.25">
      <c r="A668" s="42" t="s">
        <v>960</v>
      </c>
      <c r="B668" s="49" t="s">
        <v>285</v>
      </c>
      <c r="C668" s="42" t="s">
        <v>930</v>
      </c>
      <c r="D668" s="145">
        <v>333876050</v>
      </c>
      <c r="E668" s="42" t="s">
        <v>252</v>
      </c>
      <c r="F668" s="84">
        <v>34825</v>
      </c>
      <c r="G668" s="108" t="str">
        <f>CHOOSE(MONTH(F668),"Jan","Feb","Mar","Apr","May","Jun","Jul","Aug","Sep","Oct","Nov","Dec")</f>
        <v>May</v>
      </c>
      <c r="H668" s="54">
        <f ca="1">DATEDIF(F668,TODAY(),"Y")</f>
        <v>21</v>
      </c>
      <c r="I668" s="55"/>
      <c r="J668" s="56">
        <v>26944</v>
      </c>
      <c r="K668" s="57">
        <v>4</v>
      </c>
    </row>
    <row r="669" spans="1:11" x14ac:dyDescent="0.25">
      <c r="A669" s="42" t="s">
        <v>1008</v>
      </c>
      <c r="B669" s="49" t="s">
        <v>285</v>
      </c>
      <c r="C669" s="42" t="s">
        <v>930</v>
      </c>
      <c r="D669" s="145">
        <v>283474283</v>
      </c>
      <c r="E669" s="42" t="s">
        <v>252</v>
      </c>
      <c r="F669" s="84">
        <v>35576</v>
      </c>
      <c r="G669" s="108" t="str">
        <f>CHOOSE(MONTH(F669),"Jan","Feb","Mar","Apr","May","Jun","Jul","Aug","Sep","Oct","Nov","Dec")</f>
        <v>May</v>
      </c>
      <c r="H669" s="54">
        <f ca="1">DATEDIF(F669,TODAY(),"Y")</f>
        <v>19</v>
      </c>
      <c r="I669" s="55"/>
      <c r="J669" s="56">
        <v>28768</v>
      </c>
      <c r="K669" s="57">
        <v>3</v>
      </c>
    </row>
    <row r="670" spans="1:11" x14ac:dyDescent="0.25">
      <c r="A670" s="42" t="s">
        <v>933</v>
      </c>
      <c r="B670" s="49" t="s">
        <v>285</v>
      </c>
      <c r="C670" s="42" t="s">
        <v>930</v>
      </c>
      <c r="D670" s="145">
        <v>523053808</v>
      </c>
      <c r="E670" s="42" t="s">
        <v>256</v>
      </c>
      <c r="F670" s="84">
        <v>36672</v>
      </c>
      <c r="G670" s="108" t="str">
        <f>CHOOSE(MONTH(F670),"Jan","Feb","Mar","Apr","May","Jun","Jul","Aug","Sep","Oct","Nov","Dec")</f>
        <v>May</v>
      </c>
      <c r="H670" s="54">
        <f ca="1">DATEDIF(F670,TODAY(),"Y")</f>
        <v>16</v>
      </c>
      <c r="I670" s="55" t="s">
        <v>262</v>
      </c>
      <c r="J670" s="56">
        <v>65320</v>
      </c>
      <c r="K670" s="57">
        <v>5</v>
      </c>
    </row>
    <row r="671" spans="1:11" x14ac:dyDescent="0.25">
      <c r="A671" s="42" t="s">
        <v>990</v>
      </c>
      <c r="B671" s="49" t="s">
        <v>271</v>
      </c>
      <c r="C671" s="42" t="s">
        <v>930</v>
      </c>
      <c r="D671" s="145">
        <v>999900221</v>
      </c>
      <c r="E671" s="42" t="s">
        <v>256</v>
      </c>
      <c r="F671" s="106">
        <v>40680</v>
      </c>
      <c r="G671" s="108" t="str">
        <f>CHOOSE(MONTH(F671),"Jan","Feb","Mar","Apr","May","Jun","Jul","Aug","Sep","Oct","Nov","Dec")</f>
        <v>May</v>
      </c>
      <c r="H671" s="54">
        <f ca="1">DATEDIF(F671,TODAY(),"Y")</f>
        <v>5</v>
      </c>
      <c r="I671" s="55" t="s">
        <v>257</v>
      </c>
      <c r="J671" s="56">
        <v>23030</v>
      </c>
      <c r="K671" s="57">
        <v>4</v>
      </c>
    </row>
    <row r="672" spans="1:11" x14ac:dyDescent="0.25">
      <c r="A672" s="42" t="s">
        <v>1009</v>
      </c>
      <c r="B672" s="49" t="s">
        <v>271</v>
      </c>
      <c r="C672" s="42" t="s">
        <v>930</v>
      </c>
      <c r="D672" s="145">
        <v>934433975</v>
      </c>
      <c r="E672" s="42" t="s">
        <v>256</v>
      </c>
      <c r="F672" s="106">
        <v>40680</v>
      </c>
      <c r="G672" s="108" t="str">
        <f>CHOOSE(MONTH(F672),"Jan","Feb","Mar","Apr","May","Jun","Jul","Aug","Sep","Oct","Nov","Dec")</f>
        <v>May</v>
      </c>
      <c r="H672" s="54">
        <f ca="1">DATEDIF(F672,TODAY(),"Y")</f>
        <v>5</v>
      </c>
      <c r="I672" s="55" t="s">
        <v>276</v>
      </c>
      <c r="J672" s="56">
        <v>40260</v>
      </c>
      <c r="K672" s="57">
        <v>5</v>
      </c>
    </row>
    <row r="673" spans="1:11" x14ac:dyDescent="0.25">
      <c r="A673" s="42" t="s">
        <v>962</v>
      </c>
      <c r="B673" s="49" t="s">
        <v>285</v>
      </c>
      <c r="C673" s="42" t="s">
        <v>930</v>
      </c>
      <c r="D673" s="145">
        <v>679496333</v>
      </c>
      <c r="E673" s="42" t="s">
        <v>261</v>
      </c>
      <c r="F673" s="84">
        <v>33391</v>
      </c>
      <c r="G673" s="108" t="str">
        <f>CHOOSE(MONTH(F673),"Jan","Feb","Mar","Apr","May","Jun","Jul","Aug","Sep","Oct","Nov","Dec")</f>
        <v>Jun</v>
      </c>
      <c r="H673" s="54">
        <f ca="1">DATEDIF(F673,TODAY(),"Y")</f>
        <v>25</v>
      </c>
      <c r="I673" s="55" t="s">
        <v>283</v>
      </c>
      <c r="J673" s="56">
        <v>13455</v>
      </c>
      <c r="K673" s="57">
        <v>2</v>
      </c>
    </row>
    <row r="674" spans="1:11" x14ac:dyDescent="0.25">
      <c r="A674" s="42" t="s">
        <v>989</v>
      </c>
      <c r="B674" s="49" t="s">
        <v>245</v>
      </c>
      <c r="C674" s="42" t="s">
        <v>930</v>
      </c>
      <c r="D674" s="145">
        <v>653749368</v>
      </c>
      <c r="E674" s="42" t="s">
        <v>247</v>
      </c>
      <c r="F674" s="84">
        <v>33401</v>
      </c>
      <c r="G674" s="108" t="str">
        <f>CHOOSE(MONTH(F674),"Jan","Feb","Mar","Apr","May","Jun","Jul","Aug","Sep","Oct","Nov","Dec")</f>
        <v>Jun</v>
      </c>
      <c r="H674" s="54">
        <f ca="1">DATEDIF(F674,TODAY(),"Y")</f>
        <v>25</v>
      </c>
      <c r="I674" s="55"/>
      <c r="J674" s="56">
        <v>34680</v>
      </c>
      <c r="K674" s="57">
        <v>5</v>
      </c>
    </row>
    <row r="675" spans="1:11" x14ac:dyDescent="0.25">
      <c r="A675" s="42" t="s">
        <v>994</v>
      </c>
      <c r="B675" s="49" t="s">
        <v>280</v>
      </c>
      <c r="C675" s="42" t="s">
        <v>930</v>
      </c>
      <c r="D675" s="145">
        <v>961374801</v>
      </c>
      <c r="E675" s="42" t="s">
        <v>247</v>
      </c>
      <c r="F675" s="84">
        <v>33413</v>
      </c>
      <c r="G675" s="108" t="str">
        <f>CHOOSE(MONTH(F675),"Jan","Feb","Mar","Apr","May","Jun","Jul","Aug","Sep","Oct","Nov","Dec")</f>
        <v>Jun</v>
      </c>
      <c r="H675" s="54">
        <f ca="1">DATEDIF(F675,TODAY(),"Y")</f>
        <v>25</v>
      </c>
      <c r="I675" s="55"/>
      <c r="J675" s="56">
        <v>26020</v>
      </c>
      <c r="K675" s="57">
        <v>5</v>
      </c>
    </row>
    <row r="676" spans="1:11" x14ac:dyDescent="0.25">
      <c r="A676" s="42" t="s">
        <v>988</v>
      </c>
      <c r="B676" s="49" t="s">
        <v>285</v>
      </c>
      <c r="C676" s="42" t="s">
        <v>930</v>
      </c>
      <c r="D676" s="145">
        <v>232411697</v>
      </c>
      <c r="E676" s="42" t="s">
        <v>247</v>
      </c>
      <c r="F676" s="84">
        <v>34126</v>
      </c>
      <c r="G676" s="108" t="str">
        <f>CHOOSE(MONTH(F676),"Jan","Feb","Mar","Apr","May","Jun","Jul","Aug","Sep","Oct","Nov","Dec")</f>
        <v>Jun</v>
      </c>
      <c r="H676" s="54">
        <f ca="1">DATEDIF(F676,TODAY(),"Y")</f>
        <v>23</v>
      </c>
      <c r="I676" s="55"/>
      <c r="J676" s="56">
        <v>75550</v>
      </c>
      <c r="K676" s="57">
        <v>3</v>
      </c>
    </row>
    <row r="677" spans="1:11" x14ac:dyDescent="0.25">
      <c r="A677" s="42" t="s">
        <v>1015</v>
      </c>
      <c r="B677" s="49" t="s">
        <v>280</v>
      </c>
      <c r="C677" s="42" t="s">
        <v>930</v>
      </c>
      <c r="D677" s="145">
        <v>143482152</v>
      </c>
      <c r="E677" s="42" t="s">
        <v>247</v>
      </c>
      <c r="F677" s="84">
        <v>34135</v>
      </c>
      <c r="G677" s="108" t="str">
        <f>CHOOSE(MONTH(F677),"Jan","Feb","Mar","Apr","May","Jun","Jul","Aug","Sep","Oct","Nov","Dec")</f>
        <v>Jun</v>
      </c>
      <c r="H677" s="54">
        <f ca="1">DATEDIF(F677,TODAY(),"Y")</f>
        <v>23</v>
      </c>
      <c r="I677" s="55"/>
      <c r="J677" s="56">
        <v>78590</v>
      </c>
      <c r="K677" s="57">
        <v>1</v>
      </c>
    </row>
    <row r="678" spans="1:11" x14ac:dyDescent="0.25">
      <c r="A678" s="42" t="s">
        <v>948</v>
      </c>
      <c r="B678" s="49" t="s">
        <v>285</v>
      </c>
      <c r="C678" s="42" t="s">
        <v>930</v>
      </c>
      <c r="D678" s="145">
        <v>194299463</v>
      </c>
      <c r="E678" s="42" t="s">
        <v>261</v>
      </c>
      <c r="F678" s="84">
        <v>34140</v>
      </c>
      <c r="G678" s="108" t="str">
        <f>CHOOSE(MONTH(F678),"Jan","Feb","Mar","Apr","May","Jun","Jul","Aug","Sep","Oct","Nov","Dec")</f>
        <v>Jun</v>
      </c>
      <c r="H678" s="54">
        <f ca="1">DATEDIF(F678,TODAY(),"Y")</f>
        <v>23</v>
      </c>
      <c r="I678" s="55" t="s">
        <v>276</v>
      </c>
      <c r="J678" s="56">
        <v>11230</v>
      </c>
      <c r="K678" s="57">
        <v>4</v>
      </c>
    </row>
    <row r="679" spans="1:11" x14ac:dyDescent="0.25">
      <c r="A679" s="42" t="s">
        <v>1010</v>
      </c>
      <c r="B679" s="49" t="s">
        <v>271</v>
      </c>
      <c r="C679" s="42" t="s">
        <v>930</v>
      </c>
      <c r="D679" s="145">
        <v>541855317</v>
      </c>
      <c r="E679" s="42" t="s">
        <v>256</v>
      </c>
      <c r="F679" s="84">
        <v>36330</v>
      </c>
      <c r="G679" s="108" t="str">
        <f>CHOOSE(MONTH(F679),"Jan","Feb","Mar","Apr","May","Jun","Jul","Aug","Sep","Oct","Nov","Dec")</f>
        <v>Jun</v>
      </c>
      <c r="H679" s="54">
        <f ca="1">DATEDIF(F679,TODAY(),"Y")</f>
        <v>17</v>
      </c>
      <c r="I679" s="55" t="s">
        <v>276</v>
      </c>
      <c r="J679" s="56">
        <v>61850</v>
      </c>
      <c r="K679" s="57">
        <v>2</v>
      </c>
    </row>
    <row r="680" spans="1:11" x14ac:dyDescent="0.25">
      <c r="A680" s="42" t="s">
        <v>972</v>
      </c>
      <c r="B680" s="49" t="s">
        <v>266</v>
      </c>
      <c r="C680" s="42" t="s">
        <v>930</v>
      </c>
      <c r="D680" s="145">
        <v>686263677</v>
      </c>
      <c r="E680" s="42" t="s">
        <v>247</v>
      </c>
      <c r="F680" s="84">
        <v>37065</v>
      </c>
      <c r="G680" s="108" t="str">
        <f>CHOOSE(MONTH(F680),"Jan","Feb","Mar","Apr","May","Jun","Jul","Aug","Sep","Oct","Nov","Dec")</f>
        <v>Jun</v>
      </c>
      <c r="H680" s="54">
        <f ca="1">DATEDIF(F680,TODAY(),"Y")</f>
        <v>15</v>
      </c>
      <c r="I680" s="55"/>
      <c r="J680" s="56">
        <v>77136</v>
      </c>
      <c r="K680" s="57">
        <v>5</v>
      </c>
    </row>
    <row r="681" spans="1:11" x14ac:dyDescent="0.25">
      <c r="A681" s="42" t="s">
        <v>951</v>
      </c>
      <c r="B681" s="49" t="s">
        <v>245</v>
      </c>
      <c r="C681" s="42" t="s">
        <v>930</v>
      </c>
      <c r="D681" s="145">
        <v>815820999</v>
      </c>
      <c r="E681" s="42" t="s">
        <v>256</v>
      </c>
      <c r="F681" s="84">
        <v>39602</v>
      </c>
      <c r="G681" s="108" t="str">
        <f>CHOOSE(MONTH(F681),"Jan","Feb","Mar","Apr","May","Jun","Jul","Aug","Sep","Oct","Nov","Dec")</f>
        <v>Jun</v>
      </c>
      <c r="H681" s="54">
        <f ca="1">DATEDIF(F681,TODAY(),"Y")</f>
        <v>8</v>
      </c>
      <c r="I681" s="55" t="s">
        <v>257</v>
      </c>
      <c r="J681" s="56">
        <v>79380</v>
      </c>
      <c r="K681" s="57">
        <v>5</v>
      </c>
    </row>
    <row r="682" spans="1:11" x14ac:dyDescent="0.25">
      <c r="A682" s="42" t="s">
        <v>941</v>
      </c>
      <c r="B682" s="49" t="s">
        <v>266</v>
      </c>
      <c r="C682" s="42" t="s">
        <v>930</v>
      </c>
      <c r="D682" s="145">
        <v>458108885</v>
      </c>
      <c r="E682" s="42" t="s">
        <v>247</v>
      </c>
      <c r="F682" s="112">
        <v>40334</v>
      </c>
      <c r="G682" s="108" t="str">
        <f>CHOOSE(MONTH(F682),"Jan","Feb","Mar","Apr","May","Jun","Jul","Aug","Sep","Oct","Nov","Dec")</f>
        <v>Jun</v>
      </c>
      <c r="H682" s="54">
        <f ca="1">DATEDIF(F682,TODAY(),"Y")</f>
        <v>6</v>
      </c>
      <c r="I682" s="55"/>
      <c r="J682" s="56">
        <v>47280</v>
      </c>
      <c r="K682" s="57">
        <v>1</v>
      </c>
    </row>
    <row r="683" spans="1:11" x14ac:dyDescent="0.25">
      <c r="A683" s="42" t="s">
        <v>936</v>
      </c>
      <c r="B683" s="49" t="s">
        <v>245</v>
      </c>
      <c r="C683" s="42" t="s">
        <v>930</v>
      </c>
      <c r="D683" s="145">
        <v>896441339</v>
      </c>
      <c r="E683" s="42" t="s">
        <v>247</v>
      </c>
      <c r="F683" s="84">
        <v>33789</v>
      </c>
      <c r="G683" s="108" t="str">
        <f>CHOOSE(MONTH(F683),"Jan","Feb","Mar","Apr","May","Jun","Jul","Aug","Sep","Oct","Nov","Dec")</f>
        <v>Jul</v>
      </c>
      <c r="H683" s="54">
        <f ca="1">DATEDIF(F683,TODAY(),"Y")</f>
        <v>24</v>
      </c>
      <c r="I683" s="55"/>
      <c r="J683" s="56">
        <v>59128</v>
      </c>
      <c r="K683" s="57">
        <v>4</v>
      </c>
    </row>
    <row r="684" spans="1:11" x14ac:dyDescent="0.25">
      <c r="A684" s="42" t="s">
        <v>947</v>
      </c>
      <c r="B684" s="49" t="s">
        <v>271</v>
      </c>
      <c r="C684" s="42" t="s">
        <v>930</v>
      </c>
      <c r="D684" s="145">
        <v>961967570</v>
      </c>
      <c r="E684" s="42" t="s">
        <v>256</v>
      </c>
      <c r="F684" s="84">
        <v>33806</v>
      </c>
      <c r="G684" s="108" t="str">
        <f>CHOOSE(MONTH(F684),"Jan","Feb","Mar","Apr","May","Jun","Jul","Aug","Sep","Oct","Nov","Dec")</f>
        <v>Jul</v>
      </c>
      <c r="H684" s="54">
        <f ca="1">DATEDIF(F684,TODAY(),"Y")</f>
        <v>24</v>
      </c>
      <c r="I684" s="55" t="s">
        <v>262</v>
      </c>
      <c r="J684" s="56">
        <v>62780</v>
      </c>
      <c r="K684" s="57">
        <v>3</v>
      </c>
    </row>
    <row r="685" spans="1:11" x14ac:dyDescent="0.25">
      <c r="A685" s="42" t="s">
        <v>969</v>
      </c>
      <c r="B685" s="49" t="s">
        <v>271</v>
      </c>
      <c r="C685" s="42" t="s">
        <v>930</v>
      </c>
      <c r="D685" s="145">
        <v>276310585</v>
      </c>
      <c r="E685" s="42" t="s">
        <v>261</v>
      </c>
      <c r="F685" s="84">
        <v>34154</v>
      </c>
      <c r="G685" s="108" t="str">
        <f>CHOOSE(MONTH(F685),"Jan","Feb","Mar","Apr","May","Jun","Jul","Aug","Sep","Oct","Nov","Dec")</f>
        <v>Jul</v>
      </c>
      <c r="H685" s="54">
        <f ca="1">DATEDIF(F685,TODAY(),"Y")</f>
        <v>23</v>
      </c>
      <c r="I685" s="55" t="s">
        <v>257</v>
      </c>
      <c r="J685" s="56">
        <v>49545</v>
      </c>
      <c r="K685" s="57">
        <v>2</v>
      </c>
    </row>
    <row r="686" spans="1:11" x14ac:dyDescent="0.25">
      <c r="A686" s="42" t="s">
        <v>935</v>
      </c>
      <c r="B686" s="49" t="s">
        <v>280</v>
      </c>
      <c r="C686" s="42" t="s">
        <v>930</v>
      </c>
      <c r="D686" s="145">
        <v>803179564</v>
      </c>
      <c r="E686" s="42" t="s">
        <v>247</v>
      </c>
      <c r="F686" s="84">
        <v>34159</v>
      </c>
      <c r="G686" s="108" t="str">
        <f>CHOOSE(MONTH(F686),"Jan","Feb","Mar","Apr","May","Jun","Jul","Aug","Sep","Oct","Nov","Dec")</f>
        <v>Jul</v>
      </c>
      <c r="H686" s="54">
        <f ca="1">DATEDIF(F686,TODAY(),"Y")</f>
        <v>23</v>
      </c>
      <c r="I686" s="55"/>
      <c r="J686" s="56">
        <v>35240</v>
      </c>
      <c r="K686" s="57">
        <v>3</v>
      </c>
    </row>
    <row r="687" spans="1:11" x14ac:dyDescent="0.25">
      <c r="A687" s="42" t="s">
        <v>938</v>
      </c>
      <c r="B687" s="49" t="s">
        <v>285</v>
      </c>
      <c r="C687" s="42" t="s">
        <v>930</v>
      </c>
      <c r="D687" s="145">
        <v>946315480</v>
      </c>
      <c r="E687" s="42" t="s">
        <v>247</v>
      </c>
      <c r="F687" s="84">
        <v>34534</v>
      </c>
      <c r="G687" s="108" t="str">
        <f>CHOOSE(MONTH(F687),"Jan","Feb","Mar","Apr","May","Jun","Jul","Aug","Sep","Oct","Nov","Dec")</f>
        <v>Jul</v>
      </c>
      <c r="H687" s="54">
        <f ca="1">DATEDIF(F687,TODAY(),"Y")</f>
        <v>22</v>
      </c>
      <c r="I687" s="55"/>
      <c r="J687" s="56">
        <v>45105</v>
      </c>
      <c r="K687" s="57">
        <v>1</v>
      </c>
    </row>
    <row r="688" spans="1:11" x14ac:dyDescent="0.25">
      <c r="A688" s="42" t="s">
        <v>937</v>
      </c>
      <c r="B688" s="49" t="s">
        <v>285</v>
      </c>
      <c r="C688" s="42" t="s">
        <v>930</v>
      </c>
      <c r="D688" s="145">
        <v>989418899</v>
      </c>
      <c r="E688" s="42" t="s">
        <v>252</v>
      </c>
      <c r="F688" s="84">
        <v>35247</v>
      </c>
      <c r="G688" s="108" t="str">
        <f>CHOOSE(MONTH(F688),"Jan","Feb","Mar","Apr","May","Jun","Jul","Aug","Sep","Oct","Nov","Dec")</f>
        <v>Jul</v>
      </c>
      <c r="H688" s="54">
        <f ca="1">DATEDIF(F688,TODAY(),"Y")</f>
        <v>20</v>
      </c>
      <c r="I688" s="55"/>
      <c r="J688" s="56">
        <v>33752</v>
      </c>
      <c r="K688" s="57">
        <v>3</v>
      </c>
    </row>
    <row r="689" spans="1:11" x14ac:dyDescent="0.25">
      <c r="A689" s="42" t="s">
        <v>964</v>
      </c>
      <c r="B689" s="49" t="s">
        <v>285</v>
      </c>
      <c r="C689" s="42" t="s">
        <v>930</v>
      </c>
      <c r="D689" s="145">
        <v>747807890</v>
      </c>
      <c r="E689" s="42" t="s">
        <v>256</v>
      </c>
      <c r="F689" s="84">
        <v>35276</v>
      </c>
      <c r="G689" s="108" t="str">
        <f>CHOOSE(MONTH(F689),"Jan","Feb","Mar","Apr","May","Jun","Jul","Aug","Sep","Oct","Nov","Dec")</f>
        <v>Jul</v>
      </c>
      <c r="H689" s="54">
        <f ca="1">DATEDIF(F689,TODAY(),"Y")</f>
        <v>20</v>
      </c>
      <c r="I689" s="55" t="s">
        <v>257</v>
      </c>
      <c r="J689" s="56">
        <v>58370</v>
      </c>
      <c r="K689" s="57">
        <v>5</v>
      </c>
    </row>
    <row r="690" spans="1:11" x14ac:dyDescent="0.25">
      <c r="A690" s="42" t="s">
        <v>1018</v>
      </c>
      <c r="B690" s="49" t="s">
        <v>285</v>
      </c>
      <c r="C690" s="42" t="s">
        <v>930</v>
      </c>
      <c r="D690" s="145">
        <v>336305232</v>
      </c>
      <c r="E690" s="42" t="s">
        <v>256</v>
      </c>
      <c r="F690" s="84">
        <v>35627</v>
      </c>
      <c r="G690" s="108" t="str">
        <f>CHOOSE(MONTH(F690),"Jan","Feb","Mar","Apr","May","Jun","Jul","Aug","Sep","Oct","Nov","Dec")</f>
        <v>Jul</v>
      </c>
      <c r="H690" s="54">
        <f ca="1">DATEDIF(F690,TODAY(),"Y")</f>
        <v>19</v>
      </c>
      <c r="I690" s="55" t="s">
        <v>283</v>
      </c>
      <c r="J690" s="56">
        <v>41380</v>
      </c>
      <c r="K690" s="57">
        <v>2</v>
      </c>
    </row>
    <row r="691" spans="1:11" x14ac:dyDescent="0.25">
      <c r="A691" s="42" t="s">
        <v>997</v>
      </c>
      <c r="B691" s="49" t="s">
        <v>251</v>
      </c>
      <c r="C691" s="42" t="s">
        <v>930</v>
      </c>
      <c r="D691" s="145">
        <v>344858491</v>
      </c>
      <c r="E691" s="42" t="s">
        <v>261</v>
      </c>
      <c r="F691" s="84">
        <v>36365</v>
      </c>
      <c r="G691" s="108" t="str">
        <f>CHOOSE(MONTH(F691),"Jan","Feb","Mar","Apr","May","Jun","Jul","Aug","Sep","Oct","Nov","Dec")</f>
        <v>Jul</v>
      </c>
      <c r="H691" s="54">
        <f ca="1">DATEDIF(F691,TODAY(),"Y")</f>
        <v>17</v>
      </c>
      <c r="I691" s="55" t="s">
        <v>267</v>
      </c>
      <c r="J691" s="56">
        <v>19825</v>
      </c>
      <c r="K691" s="57">
        <v>2</v>
      </c>
    </row>
    <row r="692" spans="1:11" x14ac:dyDescent="0.25">
      <c r="A692" s="42" t="s">
        <v>975</v>
      </c>
      <c r="B692" s="49" t="s">
        <v>271</v>
      </c>
      <c r="C692" s="42" t="s">
        <v>930</v>
      </c>
      <c r="D692" s="145">
        <v>901143208</v>
      </c>
      <c r="E692" s="42" t="s">
        <v>247</v>
      </c>
      <c r="F692" s="111">
        <v>37099</v>
      </c>
      <c r="G692" s="108" t="str">
        <f>CHOOSE(MONTH(F692),"Jan","Feb","Mar","Apr","May","Jun","Jul","Aug","Sep","Oct","Nov","Dec")</f>
        <v>Jul</v>
      </c>
      <c r="H692" s="54">
        <f ca="1">DATEDIF(F692,TODAY(),"Y")</f>
        <v>15</v>
      </c>
      <c r="I692" s="55"/>
      <c r="J692" s="56">
        <v>28270</v>
      </c>
      <c r="K692" s="57">
        <v>5</v>
      </c>
    </row>
    <row r="693" spans="1:11" x14ac:dyDescent="0.25">
      <c r="A693" s="42" t="s">
        <v>1005</v>
      </c>
      <c r="B693" s="49" t="s">
        <v>266</v>
      </c>
      <c r="C693" s="42" t="s">
        <v>930</v>
      </c>
      <c r="D693" s="145">
        <v>128842689</v>
      </c>
      <c r="E693" s="42" t="s">
        <v>247</v>
      </c>
      <c r="F693" s="84">
        <v>37453</v>
      </c>
      <c r="G693" s="108" t="str">
        <f>CHOOSE(MONTH(F693),"Jan","Feb","Mar","Apr","May","Jun","Jul","Aug","Sep","Oct","Nov","Dec")</f>
        <v>Jul</v>
      </c>
      <c r="H693" s="54">
        <f ca="1">DATEDIF(F693,TODAY(),"Y")</f>
        <v>14</v>
      </c>
      <c r="I693" s="55"/>
      <c r="J693" s="56">
        <v>49090</v>
      </c>
      <c r="K693" s="57">
        <v>4</v>
      </c>
    </row>
    <row r="694" spans="1:11" x14ac:dyDescent="0.25">
      <c r="A694" s="42" t="s">
        <v>946</v>
      </c>
      <c r="B694" s="49" t="s">
        <v>285</v>
      </c>
      <c r="C694" s="42" t="s">
        <v>930</v>
      </c>
      <c r="D694" s="145">
        <v>452101408</v>
      </c>
      <c r="E694" s="42" t="s">
        <v>256</v>
      </c>
      <c r="F694" s="84">
        <v>37810</v>
      </c>
      <c r="G694" s="108" t="str">
        <f>CHOOSE(MONTH(F694),"Jan","Feb","Mar","Apr","May","Jun","Jul","Aug","Sep","Oct","Nov","Dec")</f>
        <v>Jul</v>
      </c>
      <c r="H694" s="54">
        <f ca="1">DATEDIF(F694,TODAY(),"Y")</f>
        <v>13</v>
      </c>
      <c r="I694" s="55" t="s">
        <v>283</v>
      </c>
      <c r="J694" s="56">
        <v>48010</v>
      </c>
      <c r="K694" s="57">
        <v>3</v>
      </c>
    </row>
    <row r="695" spans="1:11" x14ac:dyDescent="0.25">
      <c r="A695" s="42" t="s">
        <v>940</v>
      </c>
      <c r="B695" s="49" t="s">
        <v>285</v>
      </c>
      <c r="C695" s="42" t="s">
        <v>930</v>
      </c>
      <c r="D695" s="145">
        <v>564155873</v>
      </c>
      <c r="E695" s="42" t="s">
        <v>256</v>
      </c>
      <c r="F695" s="84">
        <v>39283</v>
      </c>
      <c r="G695" s="108" t="str">
        <f>CHOOSE(MONTH(F695),"Jan","Feb","Mar","Apr","May","Jun","Jul","Aug","Sep","Oct","Nov","Dec")</f>
        <v>Jul</v>
      </c>
      <c r="H695" s="54">
        <f ca="1">DATEDIF(F695,TODAY(),"Y")</f>
        <v>9</v>
      </c>
      <c r="I695" s="55" t="s">
        <v>257</v>
      </c>
      <c r="J695" s="56">
        <v>24980</v>
      </c>
      <c r="K695" s="57">
        <v>3</v>
      </c>
    </row>
    <row r="696" spans="1:11" x14ac:dyDescent="0.25">
      <c r="A696" s="42" t="s">
        <v>1021</v>
      </c>
      <c r="B696" s="49" t="s">
        <v>271</v>
      </c>
      <c r="C696" s="42" t="s">
        <v>930</v>
      </c>
      <c r="D696" s="145">
        <v>992878584</v>
      </c>
      <c r="E696" s="42" t="s">
        <v>256</v>
      </c>
      <c r="F696" s="84">
        <v>40018</v>
      </c>
      <c r="G696" s="108" t="str">
        <f>CHOOSE(MONTH(F696),"Jan","Feb","Mar","Apr","May","Jun","Jul","Aug","Sep","Oct","Nov","Dec")</f>
        <v>Jul</v>
      </c>
      <c r="H696" s="54">
        <f ca="1">DATEDIF(F696,TODAY(),"Y")</f>
        <v>7</v>
      </c>
      <c r="I696" s="55" t="s">
        <v>283</v>
      </c>
      <c r="J696" s="56">
        <v>34990</v>
      </c>
      <c r="K696" s="57">
        <v>3</v>
      </c>
    </row>
    <row r="697" spans="1:11" x14ac:dyDescent="0.25">
      <c r="A697" s="42" t="s">
        <v>1013</v>
      </c>
      <c r="B697" s="49" t="s">
        <v>245</v>
      </c>
      <c r="C697" s="42" t="s">
        <v>930</v>
      </c>
      <c r="D697" s="145">
        <v>980462833</v>
      </c>
      <c r="E697" s="42" t="s">
        <v>247</v>
      </c>
      <c r="F697" s="84">
        <v>33820</v>
      </c>
      <c r="G697" s="108" t="str">
        <f>CHOOSE(MONTH(F697),"Jan","Feb","Mar","Apr","May","Jun","Jul","Aug","Sep","Oct","Nov","Dec")</f>
        <v>Aug</v>
      </c>
      <c r="H697" s="54">
        <f ca="1">DATEDIF(F697,TODAY(),"Y")</f>
        <v>24</v>
      </c>
      <c r="I697" s="55"/>
      <c r="J697" s="56">
        <v>70300</v>
      </c>
      <c r="K697" s="57">
        <v>3</v>
      </c>
    </row>
    <row r="698" spans="1:11" x14ac:dyDescent="0.25">
      <c r="A698" s="42" t="s">
        <v>992</v>
      </c>
      <c r="B698" s="49" t="s">
        <v>280</v>
      </c>
      <c r="C698" s="42" t="s">
        <v>930</v>
      </c>
      <c r="D698" s="145">
        <v>561353896</v>
      </c>
      <c r="E698" s="42" t="s">
        <v>247</v>
      </c>
      <c r="F698" s="84">
        <v>35280</v>
      </c>
      <c r="G698" s="108" t="str">
        <f>CHOOSE(MONTH(F698),"Jan","Feb","Mar","Apr","May","Jun","Jul","Aug","Sep","Oct","Nov","Dec")</f>
        <v>Aug</v>
      </c>
      <c r="H698" s="54">
        <f ca="1">DATEDIF(F698,TODAY(),"Y")</f>
        <v>20</v>
      </c>
      <c r="I698" s="55"/>
      <c r="J698" s="56">
        <v>41770</v>
      </c>
      <c r="K698" s="57">
        <v>5</v>
      </c>
    </row>
    <row r="699" spans="1:11" x14ac:dyDescent="0.25">
      <c r="A699" s="42" t="s">
        <v>932</v>
      </c>
      <c r="B699" s="49" t="s">
        <v>266</v>
      </c>
      <c r="C699" s="42" t="s">
        <v>930</v>
      </c>
      <c r="D699" s="145">
        <v>624119296</v>
      </c>
      <c r="E699" s="42" t="s">
        <v>261</v>
      </c>
      <c r="F699" s="84">
        <v>35297</v>
      </c>
      <c r="G699" s="108" t="str">
        <f>CHOOSE(MONTH(F699),"Jan","Feb","Mar","Apr","May","Jun","Jul","Aug","Sep","Oct","Nov","Dec")</f>
        <v>Aug</v>
      </c>
      <c r="H699" s="54">
        <f ca="1">DATEDIF(F699,TODAY(),"Y")</f>
        <v>20</v>
      </c>
      <c r="I699" s="55" t="s">
        <v>283</v>
      </c>
      <c r="J699" s="56">
        <v>38105</v>
      </c>
      <c r="K699" s="57">
        <v>2</v>
      </c>
    </row>
    <row r="700" spans="1:11" x14ac:dyDescent="0.25">
      <c r="A700" s="42" t="s">
        <v>1022</v>
      </c>
      <c r="B700" s="49" t="s">
        <v>251</v>
      </c>
      <c r="C700" s="42" t="s">
        <v>930</v>
      </c>
      <c r="D700" s="145">
        <v>229319911</v>
      </c>
      <c r="E700" s="42" t="s">
        <v>256</v>
      </c>
      <c r="F700" s="84">
        <v>35307</v>
      </c>
      <c r="G700" s="108" t="str">
        <f>CHOOSE(MONTH(F700),"Jan","Feb","Mar","Apr","May","Jun","Jul","Aug","Sep","Oct","Nov","Dec")</f>
        <v>Aug</v>
      </c>
      <c r="H700" s="54">
        <f ca="1">DATEDIF(F700,TODAY(),"Y")</f>
        <v>20</v>
      </c>
      <c r="I700" s="55" t="s">
        <v>257</v>
      </c>
      <c r="J700" s="56">
        <v>31690</v>
      </c>
      <c r="K700" s="57">
        <v>4</v>
      </c>
    </row>
    <row r="701" spans="1:11" x14ac:dyDescent="0.25">
      <c r="A701" s="42" t="s">
        <v>943</v>
      </c>
      <c r="B701" s="49" t="s">
        <v>285</v>
      </c>
      <c r="C701" s="42" t="s">
        <v>930</v>
      </c>
      <c r="D701" s="145">
        <v>353614971</v>
      </c>
      <c r="E701" s="42" t="s">
        <v>256</v>
      </c>
      <c r="F701" s="84">
        <v>36025</v>
      </c>
      <c r="G701" s="108" t="str">
        <f>CHOOSE(MONTH(F701),"Jan","Feb","Mar","Apr","May","Jun","Jul","Aug","Sep","Oct","Nov","Dec")</f>
        <v>Aug</v>
      </c>
      <c r="H701" s="54">
        <f ca="1">DATEDIF(F701,TODAY(),"Y")</f>
        <v>18</v>
      </c>
      <c r="I701" s="55" t="s">
        <v>262</v>
      </c>
      <c r="J701" s="56">
        <v>64470</v>
      </c>
      <c r="K701" s="57">
        <v>5</v>
      </c>
    </row>
    <row r="702" spans="1:11" x14ac:dyDescent="0.25">
      <c r="A702" s="42" t="s">
        <v>991</v>
      </c>
      <c r="B702" s="49" t="s">
        <v>251</v>
      </c>
      <c r="C702" s="42" t="s">
        <v>930</v>
      </c>
      <c r="D702" s="145">
        <v>882546758</v>
      </c>
      <c r="E702" s="42" t="s">
        <v>256</v>
      </c>
      <c r="F702" s="84">
        <v>37495</v>
      </c>
      <c r="G702" s="108" t="str">
        <f>CHOOSE(MONTH(F702),"Jan","Feb","Mar","Apr","May","Jun","Jul","Aug","Sep","Oct","Nov","Dec")</f>
        <v>Aug</v>
      </c>
      <c r="H702" s="54">
        <f ca="1">DATEDIF(F702,TODAY(),"Y")</f>
        <v>14</v>
      </c>
      <c r="I702" s="55" t="s">
        <v>276</v>
      </c>
      <c r="J702" s="56">
        <v>60300</v>
      </c>
      <c r="K702" s="57">
        <v>2</v>
      </c>
    </row>
    <row r="703" spans="1:11" x14ac:dyDescent="0.25">
      <c r="A703" s="42" t="s">
        <v>1001</v>
      </c>
      <c r="B703" s="49" t="s">
        <v>280</v>
      </c>
      <c r="C703" s="42" t="s">
        <v>930</v>
      </c>
      <c r="D703" s="145">
        <v>681238825</v>
      </c>
      <c r="E703" s="42" t="s">
        <v>256</v>
      </c>
      <c r="F703" s="84">
        <v>39679</v>
      </c>
      <c r="G703" s="108" t="str">
        <f>CHOOSE(MONTH(F703),"Jan","Feb","Mar","Apr","May","Jun","Jul","Aug","Sep","Oct","Nov","Dec")</f>
        <v>Aug</v>
      </c>
      <c r="H703" s="54">
        <f ca="1">DATEDIF(F703,TODAY(),"Y")</f>
        <v>8</v>
      </c>
      <c r="I703" s="55" t="s">
        <v>257</v>
      </c>
      <c r="J703" s="56">
        <v>22820</v>
      </c>
      <c r="K703" s="57">
        <v>5</v>
      </c>
    </row>
    <row r="704" spans="1:11" x14ac:dyDescent="0.25">
      <c r="A704" s="42" t="s">
        <v>953</v>
      </c>
      <c r="B704" s="49" t="s">
        <v>285</v>
      </c>
      <c r="C704" s="42" t="s">
        <v>930</v>
      </c>
      <c r="D704" s="145">
        <v>930510500</v>
      </c>
      <c r="E704" s="42" t="s">
        <v>247</v>
      </c>
      <c r="F704" s="84">
        <v>33144</v>
      </c>
      <c r="G704" s="108" t="str">
        <f>CHOOSE(MONTH(F704),"Jan","Feb","Mar","Apr","May","Jun","Jul","Aug","Sep","Oct","Nov","Dec")</f>
        <v>Sep</v>
      </c>
      <c r="H704" s="54">
        <f ca="1">DATEDIF(F704,TODAY(),"Y")</f>
        <v>26</v>
      </c>
      <c r="I704" s="55"/>
      <c r="J704" s="56">
        <v>23340</v>
      </c>
      <c r="K704" s="57">
        <v>4</v>
      </c>
    </row>
    <row r="705" spans="1:11" x14ac:dyDescent="0.25">
      <c r="A705" s="42" t="s">
        <v>957</v>
      </c>
      <c r="B705" s="49" t="s">
        <v>285</v>
      </c>
      <c r="C705" s="42" t="s">
        <v>930</v>
      </c>
      <c r="D705" s="145">
        <v>228046358</v>
      </c>
      <c r="E705" s="42" t="s">
        <v>247</v>
      </c>
      <c r="F705" s="84">
        <v>33495</v>
      </c>
      <c r="G705" s="108" t="str">
        <f>CHOOSE(MONTH(F705),"Jan","Feb","Mar","Apr","May","Jun","Jul","Aug","Sep","Oct","Nov","Dec")</f>
        <v>Sep</v>
      </c>
      <c r="H705" s="54">
        <f ca="1">DATEDIF(F705,TODAY(),"Y")</f>
        <v>25</v>
      </c>
      <c r="I705" s="55"/>
      <c r="J705" s="56">
        <v>62480</v>
      </c>
      <c r="K705" s="57">
        <v>5</v>
      </c>
    </row>
    <row r="706" spans="1:11" x14ac:dyDescent="0.25">
      <c r="A706" s="42" t="s">
        <v>983</v>
      </c>
      <c r="B706" s="49" t="s">
        <v>271</v>
      </c>
      <c r="C706" s="42" t="s">
        <v>930</v>
      </c>
      <c r="D706" s="145">
        <v>384347325</v>
      </c>
      <c r="E706" s="42" t="s">
        <v>247</v>
      </c>
      <c r="F706" s="84">
        <v>33506</v>
      </c>
      <c r="G706" s="108" t="str">
        <f>CHOOSE(MONTH(F706),"Jan","Feb","Mar","Apr","May","Jun","Jul","Aug","Sep","Oct","Nov","Dec")</f>
        <v>Sep</v>
      </c>
      <c r="H706" s="54">
        <f ca="1">DATEDIF(F706,TODAY(),"Y")</f>
        <v>25</v>
      </c>
      <c r="I706" s="55"/>
      <c r="J706" s="56">
        <v>61134</v>
      </c>
      <c r="K706" s="57">
        <v>4</v>
      </c>
    </row>
    <row r="707" spans="1:11" x14ac:dyDescent="0.25">
      <c r="A707" s="42" t="s">
        <v>995</v>
      </c>
      <c r="B707" s="49" t="s">
        <v>245</v>
      </c>
      <c r="C707" s="42" t="s">
        <v>930</v>
      </c>
      <c r="D707" s="145">
        <v>659516216</v>
      </c>
      <c r="E707" s="42" t="s">
        <v>261</v>
      </c>
      <c r="F707" s="84">
        <v>34960</v>
      </c>
      <c r="G707" s="108" t="str">
        <f>CHOOSE(MONTH(F707),"Jan","Feb","Mar","Apr","May","Jun","Jul","Aug","Sep","Oct","Nov","Dec")</f>
        <v>Sep</v>
      </c>
      <c r="H707" s="54">
        <f ca="1">DATEDIF(F707,TODAY(),"Y")</f>
        <v>21</v>
      </c>
      <c r="I707" s="55" t="s">
        <v>276</v>
      </c>
      <c r="J707" s="56">
        <v>23000</v>
      </c>
      <c r="K707" s="57">
        <v>4</v>
      </c>
    </row>
    <row r="708" spans="1:11" x14ac:dyDescent="0.25">
      <c r="A708" s="42" t="s">
        <v>961</v>
      </c>
      <c r="B708" s="49" t="s">
        <v>280</v>
      </c>
      <c r="C708" s="42" t="s">
        <v>930</v>
      </c>
      <c r="D708" s="145">
        <v>602374173</v>
      </c>
      <c r="E708" s="42" t="s">
        <v>247</v>
      </c>
      <c r="F708" s="84">
        <v>35338</v>
      </c>
      <c r="G708" s="108" t="str">
        <f>CHOOSE(MONTH(F708),"Jan","Feb","Mar","Apr","May","Jun","Jul","Aug","Sep","Oct","Nov","Dec")</f>
        <v>Sep</v>
      </c>
      <c r="H708" s="54">
        <f ca="1">DATEDIF(F708,TODAY(),"Y")</f>
        <v>20</v>
      </c>
      <c r="I708" s="55"/>
      <c r="J708" s="56">
        <v>87830</v>
      </c>
      <c r="K708" s="57">
        <v>2</v>
      </c>
    </row>
    <row r="709" spans="1:11" x14ac:dyDescent="0.25">
      <c r="A709" s="42" t="s">
        <v>944</v>
      </c>
      <c r="B709" s="49" t="s">
        <v>280</v>
      </c>
      <c r="C709" s="42" t="s">
        <v>930</v>
      </c>
      <c r="D709" s="145">
        <v>313465553</v>
      </c>
      <c r="E709" s="42" t="s">
        <v>261</v>
      </c>
      <c r="F709" s="84">
        <v>36053</v>
      </c>
      <c r="G709" s="108" t="str">
        <f>CHOOSE(MONTH(F709),"Jan","Feb","Mar","Apr","May","Jun","Jul","Aug","Sep","Oct","Nov","Dec")</f>
        <v>Sep</v>
      </c>
      <c r="H709" s="54">
        <f ca="1">DATEDIF(F709,TODAY(),"Y")</f>
        <v>18</v>
      </c>
      <c r="I709" s="55" t="s">
        <v>276</v>
      </c>
      <c r="J709" s="56">
        <v>46105</v>
      </c>
      <c r="K709" s="57">
        <v>5</v>
      </c>
    </row>
    <row r="710" spans="1:11" x14ac:dyDescent="0.25">
      <c r="A710" s="42" t="s">
        <v>971</v>
      </c>
      <c r="B710" s="49" t="s">
        <v>266</v>
      </c>
      <c r="C710" s="42" t="s">
        <v>930</v>
      </c>
      <c r="D710" s="145">
        <v>432787417</v>
      </c>
      <c r="E710" s="42" t="s">
        <v>247</v>
      </c>
      <c r="F710" s="84">
        <v>37141</v>
      </c>
      <c r="G710" s="108" t="str">
        <f>CHOOSE(MONTH(F710),"Jan","Feb","Mar","Apr","May","Jun","Jul","Aug","Sep","Oct","Nov","Dec")</f>
        <v>Sep</v>
      </c>
      <c r="H710" s="54">
        <f ca="1">DATEDIF(F710,TODAY(),"Y")</f>
        <v>15</v>
      </c>
      <c r="I710" s="55"/>
      <c r="J710" s="56">
        <v>25530</v>
      </c>
      <c r="K710" s="57">
        <v>3</v>
      </c>
    </row>
    <row r="711" spans="1:11" x14ac:dyDescent="0.25">
      <c r="A711" s="42" t="s">
        <v>1007</v>
      </c>
      <c r="B711" s="49" t="s">
        <v>271</v>
      </c>
      <c r="C711" s="42" t="s">
        <v>930</v>
      </c>
      <c r="D711" s="145">
        <v>320413886</v>
      </c>
      <c r="E711" s="42" t="s">
        <v>256</v>
      </c>
      <c r="F711" s="84">
        <v>35364</v>
      </c>
      <c r="G711" s="108" t="str">
        <f>CHOOSE(MONTH(F711),"Jan","Feb","Mar","Apr","May","Jun","Jul","Aug","Sep","Oct","Nov","Dec")</f>
        <v>Oct</v>
      </c>
      <c r="H711" s="54">
        <f ca="1">DATEDIF(F711,TODAY(),"Y")</f>
        <v>20</v>
      </c>
      <c r="I711" s="55" t="s">
        <v>257</v>
      </c>
      <c r="J711" s="56">
        <v>27130</v>
      </c>
      <c r="K711" s="57">
        <v>5</v>
      </c>
    </row>
    <row r="712" spans="1:11" x14ac:dyDescent="0.25">
      <c r="A712" s="42" t="s">
        <v>1017</v>
      </c>
      <c r="B712" s="49" t="s">
        <v>251</v>
      </c>
      <c r="C712" s="42" t="s">
        <v>930</v>
      </c>
      <c r="D712" s="145">
        <v>606435031</v>
      </c>
      <c r="E712" s="42" t="s">
        <v>256</v>
      </c>
      <c r="F712" s="84">
        <v>36080</v>
      </c>
      <c r="G712" s="108" t="str">
        <f>CHOOSE(MONTH(F712),"Jan","Feb","Mar","Apr","May","Jun","Jul","Aug","Sep","Oct","Nov","Dec")</f>
        <v>Oct</v>
      </c>
      <c r="H712" s="54">
        <f ca="1">DATEDIF(F712,TODAY(),"Y")</f>
        <v>18</v>
      </c>
      <c r="I712" s="55" t="s">
        <v>283</v>
      </c>
      <c r="J712" s="56">
        <v>48410</v>
      </c>
      <c r="K712" s="57">
        <v>5</v>
      </c>
    </row>
    <row r="713" spans="1:11" x14ac:dyDescent="0.25">
      <c r="A713" s="42" t="s">
        <v>979</v>
      </c>
      <c r="B713" s="49" t="s">
        <v>266</v>
      </c>
      <c r="C713" s="42" t="s">
        <v>930</v>
      </c>
      <c r="D713" s="145">
        <v>872873877</v>
      </c>
      <c r="E713" s="42" t="s">
        <v>252</v>
      </c>
      <c r="F713" s="84">
        <v>36458</v>
      </c>
      <c r="G713" s="108" t="str">
        <f>CHOOSE(MONTH(F713),"Jan","Feb","Mar","Apr","May","Jun","Jul","Aug","Sep","Oct","Nov","Dec")</f>
        <v>Oct</v>
      </c>
      <c r="H713" s="54">
        <f ca="1">DATEDIF(F713,TODAY(),"Y")</f>
        <v>17</v>
      </c>
      <c r="I713" s="55"/>
      <c r="J713" s="56">
        <v>32536</v>
      </c>
      <c r="K713" s="57">
        <v>2</v>
      </c>
    </row>
    <row r="714" spans="1:11" x14ac:dyDescent="0.25">
      <c r="A714" s="42" t="s">
        <v>956</v>
      </c>
      <c r="B714" s="49" t="s">
        <v>285</v>
      </c>
      <c r="C714" s="42" t="s">
        <v>930</v>
      </c>
      <c r="D714" s="145">
        <v>511158785</v>
      </c>
      <c r="E714" s="42" t="s">
        <v>261</v>
      </c>
      <c r="F714" s="84">
        <v>36462</v>
      </c>
      <c r="G714" s="108" t="str">
        <f>CHOOSE(MONTH(F714),"Jan","Feb","Mar","Apr","May","Jun","Jul","Aug","Sep","Oct","Nov","Dec")</f>
        <v>Oct</v>
      </c>
      <c r="H714" s="54">
        <f ca="1">DATEDIF(F714,TODAY(),"Y")</f>
        <v>17</v>
      </c>
      <c r="I714" s="55" t="s">
        <v>283</v>
      </c>
      <c r="J714" s="56">
        <v>26185</v>
      </c>
      <c r="K714" s="57">
        <v>5</v>
      </c>
    </row>
    <row r="715" spans="1:11" x14ac:dyDescent="0.25">
      <c r="A715" s="42" t="s">
        <v>959</v>
      </c>
      <c r="B715" s="49" t="s">
        <v>251</v>
      </c>
      <c r="C715" s="42" t="s">
        <v>930</v>
      </c>
      <c r="D715" s="145">
        <v>698477456</v>
      </c>
      <c r="E715" s="42" t="s">
        <v>256</v>
      </c>
      <c r="F715" s="84">
        <v>38626</v>
      </c>
      <c r="G715" s="108" t="str">
        <f>CHOOSE(MONTH(F715),"Jan","Feb","Mar","Apr","May","Jun","Jul","Aug","Sep","Oct","Nov","Dec")</f>
        <v>Oct</v>
      </c>
      <c r="H715" s="54">
        <f ca="1">DATEDIF(F715,TODAY(),"Y")</f>
        <v>11</v>
      </c>
      <c r="I715" s="55" t="s">
        <v>257</v>
      </c>
      <c r="J715" s="56">
        <v>44530</v>
      </c>
      <c r="K715" s="57">
        <v>2</v>
      </c>
    </row>
    <row r="716" spans="1:11" x14ac:dyDescent="0.25">
      <c r="A716" s="42" t="s">
        <v>1011</v>
      </c>
      <c r="B716" s="49" t="s">
        <v>245</v>
      </c>
      <c r="C716" s="42" t="s">
        <v>930</v>
      </c>
      <c r="D716" s="145">
        <v>745950240</v>
      </c>
      <c r="E716" s="42" t="s">
        <v>252</v>
      </c>
      <c r="F716" s="84">
        <v>38646</v>
      </c>
      <c r="G716" s="108" t="str">
        <f>CHOOSE(MONTH(F716),"Jan","Feb","Mar","Apr","May","Jun","Jul","Aug","Sep","Oct","Nov","Dec")</f>
        <v>Oct</v>
      </c>
      <c r="H716" s="54">
        <f ca="1">DATEDIF(F716,TODAY(),"Y")</f>
        <v>11</v>
      </c>
      <c r="I716" s="55"/>
      <c r="J716" s="56">
        <v>37344</v>
      </c>
      <c r="K716" s="57">
        <v>2</v>
      </c>
    </row>
    <row r="717" spans="1:11" x14ac:dyDescent="0.25">
      <c r="A717" s="42" t="s">
        <v>984</v>
      </c>
      <c r="B717" s="49" t="s">
        <v>285</v>
      </c>
      <c r="C717" s="42" t="s">
        <v>930</v>
      </c>
      <c r="D717" s="145">
        <v>860384647</v>
      </c>
      <c r="E717" s="42" t="s">
        <v>256</v>
      </c>
      <c r="F717" s="84">
        <v>39728</v>
      </c>
      <c r="G717" s="108" t="str">
        <f>CHOOSE(MONTH(F717),"Jan","Feb","Mar","Apr","May","Jun","Jul","Aug","Sep","Oct","Nov","Dec")</f>
        <v>Oct</v>
      </c>
      <c r="H717" s="54">
        <f ca="1">DATEDIF(F717,TODAY(),"Y")</f>
        <v>8</v>
      </c>
      <c r="I717" s="55" t="s">
        <v>257</v>
      </c>
      <c r="J717" s="56">
        <v>82370</v>
      </c>
      <c r="K717" s="57">
        <v>5</v>
      </c>
    </row>
    <row r="718" spans="1:11" x14ac:dyDescent="0.25">
      <c r="A718" s="42" t="s">
        <v>985</v>
      </c>
      <c r="B718" s="49" t="s">
        <v>245</v>
      </c>
      <c r="C718" s="42" t="s">
        <v>930</v>
      </c>
      <c r="D718" s="145">
        <v>985566943</v>
      </c>
      <c r="E718" s="42" t="s">
        <v>247</v>
      </c>
      <c r="F718" s="84">
        <v>39728</v>
      </c>
      <c r="G718" s="108" t="str">
        <f>CHOOSE(MONTH(F718),"Jan","Feb","Mar","Apr","May","Jun","Jul","Aug","Sep","Oct","Nov","Dec")</f>
        <v>Oct</v>
      </c>
      <c r="H718" s="54">
        <f ca="1">DATEDIF(F718,TODAY(),"Y")</f>
        <v>8</v>
      </c>
      <c r="I718" s="55"/>
      <c r="J718" s="56">
        <v>86040</v>
      </c>
      <c r="K718" s="57">
        <v>5</v>
      </c>
    </row>
    <row r="719" spans="1:11" x14ac:dyDescent="0.25">
      <c r="A719" s="42" t="s">
        <v>942</v>
      </c>
      <c r="B719" s="49" t="s">
        <v>271</v>
      </c>
      <c r="C719" s="42" t="s">
        <v>930</v>
      </c>
      <c r="D719" s="145">
        <v>357493670</v>
      </c>
      <c r="E719" s="42" t="s">
        <v>247</v>
      </c>
      <c r="F719" s="84">
        <v>33193</v>
      </c>
      <c r="G719" s="108" t="str">
        <f>CHOOSE(MONTH(F719),"Jan","Feb","Mar","Apr","May","Jun","Jul","Aug","Sep","Oct","Nov","Dec")</f>
        <v>Nov</v>
      </c>
      <c r="H719" s="54">
        <f ca="1">DATEDIF(F719,TODAY(),"Y")</f>
        <v>25</v>
      </c>
      <c r="I719" s="55"/>
      <c r="J719" s="56">
        <v>63610</v>
      </c>
      <c r="K719" s="57">
        <v>5</v>
      </c>
    </row>
    <row r="720" spans="1:11" x14ac:dyDescent="0.25">
      <c r="A720" s="42" t="s">
        <v>968</v>
      </c>
      <c r="B720" s="49" t="s">
        <v>285</v>
      </c>
      <c r="C720" s="42" t="s">
        <v>930</v>
      </c>
      <c r="D720" s="145">
        <v>304281552</v>
      </c>
      <c r="E720" s="42" t="s">
        <v>247</v>
      </c>
      <c r="F720" s="84">
        <v>33562</v>
      </c>
      <c r="G720" s="108" t="str">
        <f>CHOOSE(MONTH(F720),"Jan","Feb","Mar","Apr","May","Jun","Jul","Aug","Sep","Oct","Nov","Dec")</f>
        <v>Nov</v>
      </c>
      <c r="H720" s="54">
        <f ca="1">DATEDIF(F720,TODAY(),"Y")</f>
        <v>24</v>
      </c>
      <c r="I720" s="55"/>
      <c r="J720" s="56">
        <v>57500</v>
      </c>
      <c r="K720" s="57">
        <v>1</v>
      </c>
    </row>
    <row r="721" spans="1:11" x14ac:dyDescent="0.25">
      <c r="A721" s="42" t="s">
        <v>1003</v>
      </c>
      <c r="B721" s="49" t="s">
        <v>266</v>
      </c>
      <c r="C721" s="42" t="s">
        <v>930</v>
      </c>
      <c r="D721" s="145">
        <v>396427379</v>
      </c>
      <c r="E721" s="42" t="s">
        <v>256</v>
      </c>
      <c r="F721" s="84">
        <v>33921</v>
      </c>
      <c r="G721" s="108" t="str">
        <f>CHOOSE(MONTH(F721),"Jan","Feb","Mar","Apr","May","Jun","Jul","Aug","Sep","Oct","Nov","Dec")</f>
        <v>Nov</v>
      </c>
      <c r="H721" s="54">
        <f ca="1">DATEDIF(F721,TODAY(),"Y")</f>
        <v>23</v>
      </c>
      <c r="I721" s="55" t="s">
        <v>267</v>
      </c>
      <c r="J721" s="56">
        <v>32160</v>
      </c>
      <c r="K721" s="57">
        <v>3</v>
      </c>
    </row>
    <row r="722" spans="1:11" x14ac:dyDescent="0.25">
      <c r="A722" s="42" t="s">
        <v>1006</v>
      </c>
      <c r="B722" s="49" t="s">
        <v>285</v>
      </c>
      <c r="C722" s="42" t="s">
        <v>930</v>
      </c>
      <c r="D722" s="145">
        <v>330289198</v>
      </c>
      <c r="E722" s="42" t="s">
        <v>256</v>
      </c>
      <c r="F722" s="84">
        <v>34286</v>
      </c>
      <c r="G722" s="108" t="str">
        <f>CHOOSE(MONTH(F722),"Jan","Feb","Mar","Apr","May","Jun","Jul","Aug","Sep","Oct","Nov","Dec")</f>
        <v>Nov</v>
      </c>
      <c r="H722" s="54">
        <f ca="1">DATEDIF(F722,TODAY(),"Y")</f>
        <v>22</v>
      </c>
      <c r="I722" s="55" t="s">
        <v>283</v>
      </c>
      <c r="J722" s="56">
        <v>87220</v>
      </c>
      <c r="K722" s="57">
        <v>1</v>
      </c>
    </row>
    <row r="723" spans="1:11" x14ac:dyDescent="0.25">
      <c r="A723" s="42" t="s">
        <v>955</v>
      </c>
      <c r="B723" s="49" t="s">
        <v>251</v>
      </c>
      <c r="C723" s="42" t="s">
        <v>930</v>
      </c>
      <c r="D723" s="145">
        <v>318825201</v>
      </c>
      <c r="E723" s="42" t="s">
        <v>256</v>
      </c>
      <c r="F723" s="84">
        <v>36843</v>
      </c>
      <c r="G723" s="108" t="str">
        <f>CHOOSE(MONTH(F723),"Jan","Feb","Mar","Apr","May","Jun","Jul","Aug","Sep","Oct","Nov","Dec")</f>
        <v>Nov</v>
      </c>
      <c r="H723" s="54">
        <f ca="1">DATEDIF(F723,TODAY(),"Y")</f>
        <v>15</v>
      </c>
      <c r="I723" s="55" t="s">
        <v>283</v>
      </c>
      <c r="J723" s="56">
        <v>47630</v>
      </c>
      <c r="K723" s="57">
        <v>3</v>
      </c>
    </row>
    <row r="724" spans="1:11" x14ac:dyDescent="0.25">
      <c r="A724" s="42" t="s">
        <v>950</v>
      </c>
      <c r="B724" s="49" t="s">
        <v>271</v>
      </c>
      <c r="C724" s="42" t="s">
        <v>930</v>
      </c>
      <c r="D724" s="145">
        <v>457078742</v>
      </c>
      <c r="E724" s="42" t="s">
        <v>256</v>
      </c>
      <c r="F724" s="84">
        <v>33957</v>
      </c>
      <c r="G724" s="108" t="str">
        <f>CHOOSE(MONTH(F724),"Jan","Feb","Mar","Apr","May","Jun","Jul","Aug","Sep","Oct","Nov","Dec")</f>
        <v>Dec</v>
      </c>
      <c r="H724" s="54">
        <f ca="1">DATEDIF(F724,TODAY(),"Y")</f>
        <v>23</v>
      </c>
      <c r="I724" s="55" t="s">
        <v>262</v>
      </c>
      <c r="J724" s="56">
        <v>59490</v>
      </c>
      <c r="K724" s="57">
        <v>3</v>
      </c>
    </row>
    <row r="725" spans="1:11" x14ac:dyDescent="0.25">
      <c r="A725" s="42" t="s">
        <v>976</v>
      </c>
      <c r="B725" s="49" t="s">
        <v>271</v>
      </c>
      <c r="C725" s="42" t="s">
        <v>930</v>
      </c>
      <c r="D725" s="145">
        <v>299178475</v>
      </c>
      <c r="E725" s="42" t="s">
        <v>256</v>
      </c>
      <c r="F725" s="84">
        <v>34670</v>
      </c>
      <c r="G725" s="108" t="str">
        <f>CHOOSE(MONTH(F725),"Jan","Feb","Mar","Apr","May","Jun","Jul","Aug","Sep","Oct","Nov","Dec")</f>
        <v>Dec</v>
      </c>
      <c r="H725" s="54">
        <f ca="1">DATEDIF(F725,TODAY(),"Y")</f>
        <v>21</v>
      </c>
      <c r="I725" s="55" t="s">
        <v>257</v>
      </c>
      <c r="J725" s="56">
        <v>69510</v>
      </c>
      <c r="K725" s="57">
        <v>5</v>
      </c>
    </row>
    <row r="726" spans="1:11" x14ac:dyDescent="0.25">
      <c r="A726" s="42" t="s">
        <v>1016</v>
      </c>
      <c r="B726" s="49" t="s">
        <v>285</v>
      </c>
      <c r="C726" s="42" t="s">
        <v>930</v>
      </c>
      <c r="D726" s="145">
        <v>467608325</v>
      </c>
      <c r="E726" s="42" t="s">
        <v>256</v>
      </c>
      <c r="F726" s="84">
        <v>35052</v>
      </c>
      <c r="G726" s="108" t="str">
        <f>CHOOSE(MONTH(F726),"Jan","Feb","Mar","Apr","May","Jun","Jul","Aug","Sep","Oct","Nov","Dec")</f>
        <v>Dec</v>
      </c>
      <c r="H726" s="54">
        <f ca="1">DATEDIF(F726,TODAY(),"Y")</f>
        <v>20</v>
      </c>
      <c r="I726" s="55" t="s">
        <v>267</v>
      </c>
      <c r="J726" s="56">
        <v>64780</v>
      </c>
      <c r="K726" s="57">
        <v>5</v>
      </c>
    </row>
    <row r="727" spans="1:11" x14ac:dyDescent="0.25">
      <c r="A727" s="42" t="s">
        <v>963</v>
      </c>
      <c r="B727" s="49" t="s">
        <v>266</v>
      </c>
      <c r="C727" s="42" t="s">
        <v>930</v>
      </c>
      <c r="D727" s="145">
        <v>919599203</v>
      </c>
      <c r="E727" s="42" t="s">
        <v>256</v>
      </c>
      <c r="F727" s="84">
        <v>35776</v>
      </c>
      <c r="G727" s="108" t="str">
        <f>CHOOSE(MONTH(F727),"Jan","Feb","Mar","Apr","May","Jun","Jul","Aug","Sep","Oct","Nov","Dec")</f>
        <v>Dec</v>
      </c>
      <c r="H727" s="54">
        <f ca="1">DATEDIF(F727,TODAY(),"Y")</f>
        <v>18</v>
      </c>
      <c r="I727" s="55" t="s">
        <v>257</v>
      </c>
      <c r="J727" s="56">
        <v>86320</v>
      </c>
      <c r="K727" s="57">
        <v>4</v>
      </c>
    </row>
    <row r="728" spans="1:11" x14ac:dyDescent="0.25">
      <c r="A728" s="42" t="s">
        <v>986</v>
      </c>
      <c r="B728" s="49" t="s">
        <v>285</v>
      </c>
      <c r="C728" s="42" t="s">
        <v>930</v>
      </c>
      <c r="D728" s="145">
        <v>969556466</v>
      </c>
      <c r="E728" s="42" t="s">
        <v>256</v>
      </c>
      <c r="F728" s="84">
        <v>38328</v>
      </c>
      <c r="G728" s="108" t="str">
        <f>CHOOSE(MONTH(F728),"Jan","Feb","Mar","Apr","May","Jun","Jul","Aug","Sep","Oct","Nov","Dec")</f>
        <v>Dec</v>
      </c>
      <c r="H728" s="54">
        <f ca="1">DATEDIF(F728,TODAY(),"Y")</f>
        <v>11</v>
      </c>
      <c r="I728" s="55" t="s">
        <v>262</v>
      </c>
      <c r="J728" s="56">
        <v>48280</v>
      </c>
      <c r="K728" s="57">
        <v>4</v>
      </c>
    </row>
    <row r="729" spans="1:11" x14ac:dyDescent="0.25">
      <c r="A729" s="42" t="s">
        <v>982</v>
      </c>
      <c r="B729" s="49" t="s">
        <v>245</v>
      </c>
      <c r="C729" s="42" t="s">
        <v>930</v>
      </c>
      <c r="D729" s="145">
        <v>203183300</v>
      </c>
      <c r="E729" s="42" t="s">
        <v>256</v>
      </c>
      <c r="F729" s="84">
        <v>38347</v>
      </c>
      <c r="G729" s="108" t="str">
        <f>CHOOSE(MONTH(F729),"Jan","Feb","Mar","Apr","May","Jun","Jul","Aug","Sep","Oct","Nov","Dec")</f>
        <v>Dec</v>
      </c>
      <c r="H729" s="54">
        <f ca="1">DATEDIF(F729,TODAY(),"Y")</f>
        <v>11</v>
      </c>
      <c r="I729" s="55" t="s">
        <v>283</v>
      </c>
      <c r="J729" s="56">
        <v>81340</v>
      </c>
      <c r="K729" s="57">
        <v>2</v>
      </c>
    </row>
    <row r="730" spans="1:11" x14ac:dyDescent="0.25">
      <c r="A730" s="42" t="s">
        <v>965</v>
      </c>
      <c r="B730" s="49" t="s">
        <v>280</v>
      </c>
      <c r="C730" s="42" t="s">
        <v>930</v>
      </c>
      <c r="D730" s="145">
        <v>820794819</v>
      </c>
      <c r="E730" s="42" t="s">
        <v>256</v>
      </c>
      <c r="F730" s="84">
        <v>39441</v>
      </c>
      <c r="G730" s="108" t="str">
        <f>CHOOSE(MONTH(F730),"Jan","Feb","Mar","Apr","May","Jun","Jul","Aug","Sep","Oct","Nov","Dec")</f>
        <v>Dec</v>
      </c>
      <c r="H730" s="54">
        <f ca="1">DATEDIF(F730,TODAY(),"Y")</f>
        <v>8</v>
      </c>
      <c r="I730" s="55" t="s">
        <v>262</v>
      </c>
      <c r="J730" s="56">
        <v>68860</v>
      </c>
      <c r="K730" s="57">
        <v>2</v>
      </c>
    </row>
    <row r="731" spans="1:11" x14ac:dyDescent="0.25">
      <c r="A731" s="42" t="s">
        <v>981</v>
      </c>
      <c r="B731" s="49" t="s">
        <v>285</v>
      </c>
      <c r="C731" s="42" t="s">
        <v>930</v>
      </c>
      <c r="D731" s="145">
        <v>462080698</v>
      </c>
      <c r="E731" s="42" t="s">
        <v>247</v>
      </c>
      <c r="F731" s="84">
        <v>40523</v>
      </c>
      <c r="G731" s="108" t="str">
        <f>CHOOSE(MONTH(F731),"Jan","Feb","Mar","Apr","May","Jun","Jul","Aug","Sep","Oct","Nov","Dec")</f>
        <v>Dec</v>
      </c>
      <c r="H731" s="54">
        <f ca="1">DATEDIF(F731,TODAY(),"Y")</f>
        <v>5</v>
      </c>
      <c r="I731" s="55"/>
      <c r="J731" s="56">
        <v>46570</v>
      </c>
      <c r="K731" s="57">
        <v>4</v>
      </c>
    </row>
    <row r="732" spans="1:11" x14ac:dyDescent="0.25">
      <c r="A732" s="42" t="s">
        <v>1019</v>
      </c>
      <c r="B732" s="49" t="s">
        <v>266</v>
      </c>
      <c r="C732" s="42" t="s">
        <v>930</v>
      </c>
      <c r="D732" s="145">
        <v>887657041</v>
      </c>
      <c r="E732" s="42" t="s">
        <v>256</v>
      </c>
      <c r="F732" s="106">
        <v>40536</v>
      </c>
      <c r="G732" s="108" t="str">
        <f>CHOOSE(MONTH(F732),"Jan","Feb","Mar","Apr","May","Jun","Jul","Aug","Sep","Oct","Nov","Dec")</f>
        <v>Dec</v>
      </c>
      <c r="H732" s="54">
        <f ca="1">DATEDIF(F732,TODAY(),"Y")</f>
        <v>5</v>
      </c>
      <c r="I732" s="55" t="s">
        <v>283</v>
      </c>
      <c r="J732" s="56">
        <v>70730</v>
      </c>
      <c r="K732" s="57">
        <v>1</v>
      </c>
    </row>
    <row r="733" spans="1:11" x14ac:dyDescent="0.25">
      <c r="A733" s="42" t="s">
        <v>1024</v>
      </c>
      <c r="B733" s="49" t="s">
        <v>266</v>
      </c>
      <c r="C733" s="42" t="s">
        <v>1025</v>
      </c>
      <c r="D733" s="145">
        <v>674002032</v>
      </c>
      <c r="E733" s="42" t="s">
        <v>256</v>
      </c>
      <c r="F733" s="84">
        <v>37684</v>
      </c>
      <c r="G733" s="108" t="str">
        <f>CHOOSE(MONTH(F733),"Jan","Feb","Mar","Apr","May","Jun","Jul","Aug","Sep","Oct","Nov","Dec")</f>
        <v>Mar</v>
      </c>
      <c r="H733" s="54">
        <f ca="1">DATEDIF(F733,TODAY(),"Y")</f>
        <v>13</v>
      </c>
      <c r="I733" s="55" t="s">
        <v>283</v>
      </c>
      <c r="J733" s="56">
        <v>42800</v>
      </c>
      <c r="K733" s="57">
        <v>5</v>
      </c>
    </row>
    <row r="734" spans="1:11" x14ac:dyDescent="0.25">
      <c r="A734" s="42" t="s">
        <v>1028</v>
      </c>
      <c r="B734" s="49" t="s">
        <v>271</v>
      </c>
      <c r="C734" s="42" t="s">
        <v>1025</v>
      </c>
      <c r="D734" s="145">
        <v>422387183</v>
      </c>
      <c r="E734" s="42" t="s">
        <v>256</v>
      </c>
      <c r="F734" s="84">
        <v>36991</v>
      </c>
      <c r="G734" s="108" t="str">
        <f>CHOOSE(MONTH(F734),"Jan","Feb","Mar","Apr","May","Jun","Jul","Aug","Sep","Oct","Nov","Dec")</f>
        <v>Apr</v>
      </c>
      <c r="H734" s="54">
        <f ca="1">DATEDIF(F734,TODAY(),"Y")</f>
        <v>15</v>
      </c>
      <c r="I734" s="55" t="s">
        <v>257</v>
      </c>
      <c r="J734" s="56">
        <v>63670</v>
      </c>
      <c r="K734" s="57">
        <v>5</v>
      </c>
    </row>
    <row r="735" spans="1:11" x14ac:dyDescent="0.25">
      <c r="A735" s="42" t="s">
        <v>1026</v>
      </c>
      <c r="B735" s="49" t="s">
        <v>245</v>
      </c>
      <c r="C735" s="42" t="s">
        <v>1025</v>
      </c>
      <c r="D735" s="145">
        <v>807251642</v>
      </c>
      <c r="E735" s="42" t="s">
        <v>247</v>
      </c>
      <c r="F735" s="84">
        <v>33387</v>
      </c>
      <c r="G735" s="108" t="str">
        <f>CHOOSE(MONTH(F735),"Jan","Feb","Mar","Apr","May","Jun","Jul","Aug","Sep","Oct","Nov","Dec")</f>
        <v>May</v>
      </c>
      <c r="H735" s="54">
        <f ca="1">DATEDIF(F735,TODAY(),"Y")</f>
        <v>25</v>
      </c>
      <c r="I735" s="55"/>
      <c r="J735" s="56">
        <v>85510</v>
      </c>
      <c r="K735" s="57">
        <v>4</v>
      </c>
    </row>
    <row r="736" spans="1:11" x14ac:dyDescent="0.25">
      <c r="A736" s="42" t="s">
        <v>1029</v>
      </c>
      <c r="B736" s="49" t="s">
        <v>271</v>
      </c>
      <c r="C736" s="42" t="s">
        <v>1025</v>
      </c>
      <c r="D736" s="145">
        <v>270109026</v>
      </c>
      <c r="E736" s="42" t="s">
        <v>247</v>
      </c>
      <c r="F736" s="84">
        <v>40719</v>
      </c>
      <c r="G736" s="108" t="str">
        <f>CHOOSE(MONTH(F736),"Jan","Feb","Mar","Apr","May","Jun","Jul","Aug","Sep","Oct","Nov","Dec")</f>
        <v>Jun</v>
      </c>
      <c r="H736" s="54">
        <f ca="1">DATEDIF(F736,TODAY(),"Y")</f>
        <v>5</v>
      </c>
      <c r="I736" s="55"/>
      <c r="J736" s="56">
        <v>66132</v>
      </c>
      <c r="K736" s="57">
        <v>4</v>
      </c>
    </row>
    <row r="737" spans="1:14" x14ac:dyDescent="0.25">
      <c r="A737" s="42" t="s">
        <v>1027</v>
      </c>
      <c r="B737" s="49" t="s">
        <v>245</v>
      </c>
      <c r="C737" s="42" t="s">
        <v>1025</v>
      </c>
      <c r="D737" s="145">
        <v>807851416</v>
      </c>
      <c r="E737" s="42" t="s">
        <v>256</v>
      </c>
      <c r="F737" s="84">
        <v>37073</v>
      </c>
      <c r="G737" s="108" t="str">
        <f>CHOOSE(MONTH(F737),"Jan","Feb","Mar","Apr","May","Jun","Jul","Aug","Sep","Oct","Nov","Dec")</f>
        <v>Jul</v>
      </c>
      <c r="H737" s="54">
        <f ca="1">DATEDIF(F737,TODAY(),"Y")</f>
        <v>15</v>
      </c>
      <c r="I737" s="55" t="s">
        <v>276</v>
      </c>
      <c r="J737" s="56">
        <v>40680</v>
      </c>
      <c r="K737" s="57">
        <v>5</v>
      </c>
    </row>
    <row r="738" spans="1:14" x14ac:dyDescent="0.25">
      <c r="A738" s="42" t="s">
        <v>1034</v>
      </c>
      <c r="B738" s="49" t="s">
        <v>285</v>
      </c>
      <c r="C738" s="42" t="s">
        <v>1031</v>
      </c>
      <c r="D738" s="145">
        <v>973253888</v>
      </c>
      <c r="E738" s="42" t="s">
        <v>247</v>
      </c>
      <c r="F738" s="84">
        <v>34003</v>
      </c>
      <c r="G738" s="108" t="str">
        <f>CHOOSE(MONTH(F738),"Jan","Feb","Mar","Apr","May","Jun","Jul","Aug","Sep","Oct","Nov","Dec")</f>
        <v>Feb</v>
      </c>
      <c r="H738" s="54">
        <f ca="1">DATEDIF(F738,TODAY(),"Y")</f>
        <v>23</v>
      </c>
      <c r="I738" s="55"/>
      <c r="J738" s="56">
        <v>60760</v>
      </c>
      <c r="K738" s="57">
        <v>2</v>
      </c>
      <c r="N738" s="78"/>
    </row>
    <row r="739" spans="1:14" x14ac:dyDescent="0.25">
      <c r="A739" s="42" t="s">
        <v>1033</v>
      </c>
      <c r="B739" s="49" t="s">
        <v>266</v>
      </c>
      <c r="C739" s="42" t="s">
        <v>1031</v>
      </c>
      <c r="D739" s="145">
        <v>133406431</v>
      </c>
      <c r="E739" s="42" t="s">
        <v>261</v>
      </c>
      <c r="F739" s="84">
        <v>36557</v>
      </c>
      <c r="G739" s="108" t="str">
        <f>CHOOSE(MONTH(F739),"Jan","Feb","Mar","Apr","May","Jun","Jul","Aug","Sep","Oct","Nov","Dec")</f>
        <v>Feb</v>
      </c>
      <c r="H739" s="54">
        <f ca="1">DATEDIF(F739,TODAY(),"Y")</f>
        <v>16</v>
      </c>
      <c r="I739" s="55" t="s">
        <v>257</v>
      </c>
      <c r="J739" s="56">
        <v>31250</v>
      </c>
      <c r="K739" s="57">
        <v>2</v>
      </c>
    </row>
    <row r="740" spans="1:14" x14ac:dyDescent="0.25">
      <c r="A740" s="42" t="s">
        <v>1030</v>
      </c>
      <c r="B740" s="49" t="s">
        <v>285</v>
      </c>
      <c r="C740" s="42" t="s">
        <v>1031</v>
      </c>
      <c r="D740" s="145">
        <v>668461620</v>
      </c>
      <c r="E740" s="42" t="s">
        <v>247</v>
      </c>
      <c r="F740" s="84">
        <v>34525</v>
      </c>
      <c r="G740" s="108" t="str">
        <f>CHOOSE(MONTH(F740),"Jan","Feb","Mar","Apr","May","Jun","Jul","Aug","Sep","Oct","Nov","Dec")</f>
        <v>Jul</v>
      </c>
      <c r="H740" s="54">
        <f ca="1">DATEDIF(F740,TODAY(),"Y")</f>
        <v>22</v>
      </c>
      <c r="I740" s="55"/>
      <c r="J740" s="56">
        <v>64720</v>
      </c>
      <c r="K740" s="57">
        <v>5</v>
      </c>
    </row>
    <row r="741" spans="1:14" x14ac:dyDescent="0.25">
      <c r="B741" s="42"/>
      <c r="D741" s="42"/>
      <c r="F741" s="42"/>
      <c r="G741" s="42"/>
      <c r="H741" s="42"/>
      <c r="J741" s="42"/>
    </row>
    <row r="742" spans="1:14" x14ac:dyDescent="0.25">
      <c r="B742" s="42"/>
      <c r="D742" s="42"/>
      <c r="F742" s="42"/>
      <c r="G742" s="42"/>
      <c r="H742" s="42"/>
      <c r="J742" s="42"/>
      <c r="N742" s="78"/>
    </row>
    <row r="748" spans="1:14" x14ac:dyDescent="0.25">
      <c r="A748" s="42" t="s">
        <v>1035</v>
      </c>
      <c r="B748" s="49" t="s">
        <v>251</v>
      </c>
      <c r="C748" s="42" t="s">
        <v>1031</v>
      </c>
      <c r="D748" s="145">
        <v>125594285</v>
      </c>
      <c r="E748" s="42" t="s">
        <v>256</v>
      </c>
      <c r="F748" s="84">
        <v>40384</v>
      </c>
      <c r="G748" s="108" t="str">
        <f>CHOOSE(MONTH(F748),"Jan","Feb","Mar","Apr","May","Jun","Jul","Aug","Sep","Oct","Nov","Dec")</f>
        <v>Jul</v>
      </c>
      <c r="H748" s="54">
        <f ca="1">DATEDIF(F748,TODAY(),"Y")</f>
        <v>6</v>
      </c>
      <c r="I748" s="55" t="s">
        <v>257</v>
      </c>
      <c r="J748" s="56">
        <v>46680</v>
      </c>
      <c r="K748" s="57">
        <v>1</v>
      </c>
    </row>
    <row r="749" spans="1:14" x14ac:dyDescent="0.25">
      <c r="A749" s="42" t="s">
        <v>1032</v>
      </c>
      <c r="B749" s="49" t="s">
        <v>266</v>
      </c>
      <c r="C749" s="42" t="s">
        <v>1031</v>
      </c>
      <c r="D749" s="145">
        <v>281524582</v>
      </c>
      <c r="E749" s="42" t="s">
        <v>252</v>
      </c>
      <c r="F749" s="84">
        <v>40543</v>
      </c>
      <c r="G749" s="108" t="str">
        <f>CHOOSE(MONTH(F749),"Jan","Feb","Mar","Apr","May","Jun","Jul","Aug","Sep","Oct","Nov","Dec")</f>
        <v>Dec</v>
      </c>
      <c r="H749" s="54">
        <f ca="1">DATEDIF(F749,TODAY(),"Y")</f>
        <v>5</v>
      </c>
      <c r="I749" s="55"/>
      <c r="J749" s="56">
        <v>19044</v>
      </c>
      <c r="K749" s="57"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5" sqref="B3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913"/>
  <sheetViews>
    <sheetView zoomScale="130" zoomScaleNormal="130" workbookViewId="0">
      <selection activeCell="B35" sqref="B35"/>
    </sheetView>
  </sheetViews>
  <sheetFormatPr defaultColWidth="18" defaultRowHeight="15" x14ac:dyDescent="0.25"/>
  <cols>
    <col min="1" max="1" width="12.42578125" style="148" bestFit="1" customWidth="1"/>
    <col min="2" max="2" width="15.7109375" style="148" bestFit="1" customWidth="1"/>
    <col min="3" max="3" width="7.7109375" style="148" bestFit="1" customWidth="1"/>
    <col min="4" max="4" width="15.85546875" style="148" bestFit="1" customWidth="1"/>
    <col min="5" max="5" width="11.28515625" style="150" bestFit="1" customWidth="1"/>
    <col min="6" max="6" width="7.85546875" style="149" bestFit="1" customWidth="1"/>
    <col min="7" max="7" width="10.140625" style="149" bestFit="1" customWidth="1"/>
    <col min="8" max="8" width="36.85546875" style="148" customWidth="1"/>
    <col min="9" max="10" width="11.5703125" style="148" customWidth="1"/>
    <col min="11" max="11" width="16.28515625" style="148" customWidth="1"/>
    <col min="12" max="15" width="6.42578125" style="148" customWidth="1"/>
    <col min="16" max="16" width="11" style="148" customWidth="1"/>
    <col min="17" max="20" width="11.42578125" style="148" customWidth="1"/>
    <col min="21" max="21" width="16.140625" style="148" bestFit="1" customWidth="1"/>
    <col min="22" max="25" width="10" style="148" customWidth="1"/>
    <col min="26" max="26" width="14.7109375" style="148" customWidth="1"/>
    <col min="27" max="27" width="10.5703125" style="148" customWidth="1"/>
    <col min="28" max="32" width="16.28515625" style="148" customWidth="1"/>
    <col min="33" max="33" width="9.28515625" style="148" customWidth="1"/>
    <col min="34" max="34" width="11.28515625" style="148" customWidth="1"/>
    <col min="35" max="16384" width="18" style="148"/>
  </cols>
  <sheetData>
    <row r="1" spans="1:8" ht="27" thickBot="1" x14ac:dyDescent="0.3">
      <c r="A1" s="162" t="s">
        <v>1544</v>
      </c>
      <c r="B1" s="161"/>
      <c r="C1" s="161"/>
      <c r="D1" s="161"/>
      <c r="E1" s="161"/>
      <c r="F1" s="161"/>
      <c r="G1" s="160"/>
    </row>
    <row r="2" spans="1:8" ht="15.75" thickBot="1" x14ac:dyDescent="0.3">
      <c r="A2" s="159"/>
      <c r="B2" s="159"/>
      <c r="C2" s="159"/>
      <c r="D2" s="159"/>
      <c r="E2" s="159"/>
      <c r="F2" s="159"/>
      <c r="G2" s="159"/>
    </row>
    <row r="3" spans="1:8" ht="15.75" thickBot="1" x14ac:dyDescent="0.3">
      <c r="A3" s="158" t="s">
        <v>1543</v>
      </c>
      <c r="B3" s="158" t="s">
        <v>1542</v>
      </c>
      <c r="C3" s="158" t="s">
        <v>1541</v>
      </c>
      <c r="D3" s="158" t="s">
        <v>1540</v>
      </c>
      <c r="E3" s="157" t="s">
        <v>1064</v>
      </c>
      <c r="F3" s="156" t="s">
        <v>1539</v>
      </c>
      <c r="G3" s="156" t="s">
        <v>1501</v>
      </c>
    </row>
    <row r="4" spans="1:8" x14ac:dyDescent="0.25">
      <c r="A4" s="148" t="s">
        <v>1520</v>
      </c>
      <c r="B4" s="148" t="s">
        <v>1538</v>
      </c>
      <c r="C4" s="148" t="s">
        <v>1523</v>
      </c>
      <c r="D4" s="148" t="s">
        <v>1533</v>
      </c>
      <c r="E4" s="152">
        <v>40406</v>
      </c>
      <c r="F4" s="149">
        <v>1</v>
      </c>
      <c r="G4" s="149">
        <v>894</v>
      </c>
      <c r="H4" s="155"/>
    </row>
    <row r="5" spans="1:8" x14ac:dyDescent="0.25">
      <c r="A5" s="148" t="s">
        <v>1521</v>
      </c>
      <c r="B5" s="148" t="s">
        <v>1538</v>
      </c>
      <c r="C5" s="148" t="s">
        <v>1514</v>
      </c>
      <c r="D5" s="148" t="s">
        <v>1533</v>
      </c>
      <c r="E5" s="152">
        <v>40708</v>
      </c>
      <c r="F5" s="149">
        <v>1</v>
      </c>
      <c r="G5" s="149">
        <v>418</v>
      </c>
      <c r="H5" s="155"/>
    </row>
    <row r="6" spans="1:8" x14ac:dyDescent="0.25">
      <c r="A6" s="148" t="s">
        <v>1527</v>
      </c>
      <c r="B6" s="148" t="s">
        <v>1538</v>
      </c>
      <c r="C6" s="148" t="s">
        <v>1514</v>
      </c>
      <c r="D6" s="148" t="s">
        <v>1533</v>
      </c>
      <c r="E6" s="152">
        <v>40710</v>
      </c>
      <c r="F6" s="149">
        <v>1</v>
      </c>
      <c r="G6" s="149">
        <v>655</v>
      </c>
      <c r="H6" s="155"/>
    </row>
    <row r="7" spans="1:8" x14ac:dyDescent="0.25">
      <c r="A7" s="148" t="s">
        <v>1526</v>
      </c>
      <c r="B7" s="148" t="s">
        <v>1538</v>
      </c>
      <c r="C7" s="148" t="s">
        <v>1519</v>
      </c>
      <c r="D7" s="148" t="s">
        <v>1531</v>
      </c>
      <c r="E7" s="152">
        <v>40856</v>
      </c>
      <c r="F7" s="149">
        <v>1</v>
      </c>
      <c r="G7" s="149">
        <v>582</v>
      </c>
      <c r="H7" s="155"/>
    </row>
    <row r="8" spans="1:8" x14ac:dyDescent="0.25">
      <c r="A8" s="148" t="s">
        <v>1525</v>
      </c>
      <c r="B8" s="148" t="s">
        <v>1538</v>
      </c>
      <c r="C8" s="148" t="s">
        <v>1514</v>
      </c>
      <c r="D8" s="148" t="s">
        <v>1531</v>
      </c>
      <c r="E8" s="152">
        <v>40222</v>
      </c>
      <c r="F8" s="149">
        <v>1</v>
      </c>
      <c r="G8" s="153">
        <v>769</v>
      </c>
      <c r="H8" s="155"/>
    </row>
    <row r="9" spans="1:8" x14ac:dyDescent="0.25">
      <c r="A9" s="148" t="s">
        <v>1525</v>
      </c>
      <c r="B9" s="148" t="s">
        <v>1538</v>
      </c>
      <c r="C9" s="148" t="s">
        <v>1523</v>
      </c>
      <c r="D9" s="148" t="s">
        <v>1530</v>
      </c>
      <c r="E9" s="152">
        <v>40868</v>
      </c>
      <c r="F9" s="149">
        <v>1</v>
      </c>
      <c r="G9" s="149">
        <v>572</v>
      </c>
      <c r="H9" s="155"/>
    </row>
    <row r="10" spans="1:8" x14ac:dyDescent="0.25">
      <c r="A10" s="148" t="s">
        <v>1524</v>
      </c>
      <c r="B10" s="148" t="s">
        <v>1538</v>
      </c>
      <c r="C10" s="148" t="s">
        <v>1519</v>
      </c>
      <c r="D10" s="148" t="s">
        <v>1530</v>
      </c>
      <c r="E10" s="152">
        <v>40428</v>
      </c>
      <c r="F10" s="149">
        <v>1</v>
      </c>
      <c r="G10" s="149">
        <v>567</v>
      </c>
      <c r="H10" s="155"/>
    </row>
    <row r="11" spans="1:8" x14ac:dyDescent="0.25">
      <c r="A11" s="148" t="s">
        <v>1522</v>
      </c>
      <c r="B11" s="148" t="s">
        <v>1538</v>
      </c>
      <c r="C11" s="148" t="s">
        <v>1523</v>
      </c>
      <c r="D11" s="148" t="s">
        <v>1533</v>
      </c>
      <c r="E11" s="152">
        <v>40379</v>
      </c>
      <c r="F11" s="149">
        <v>2</v>
      </c>
      <c r="G11" s="149">
        <v>972</v>
      </c>
      <c r="H11" s="155"/>
    </row>
    <row r="12" spans="1:8" x14ac:dyDescent="0.25">
      <c r="A12" s="148" t="s">
        <v>1520</v>
      </c>
      <c r="B12" s="148" t="s">
        <v>1538</v>
      </c>
      <c r="C12" s="148" t="s">
        <v>1519</v>
      </c>
      <c r="D12" s="148" t="s">
        <v>1533</v>
      </c>
      <c r="E12" s="152">
        <v>40568</v>
      </c>
      <c r="F12" s="149">
        <v>2</v>
      </c>
      <c r="G12" s="149">
        <v>940</v>
      </c>
      <c r="H12" s="155"/>
    </row>
    <row r="13" spans="1:8" x14ac:dyDescent="0.25">
      <c r="A13" s="148" t="s">
        <v>1516</v>
      </c>
      <c r="B13" s="148" t="s">
        <v>1538</v>
      </c>
      <c r="C13" s="148" t="s">
        <v>1514</v>
      </c>
      <c r="D13" s="148" t="s">
        <v>1533</v>
      </c>
      <c r="E13" s="152">
        <v>40473</v>
      </c>
      <c r="F13" s="149">
        <v>2</v>
      </c>
      <c r="G13" s="149">
        <v>1570</v>
      </c>
      <c r="H13" s="155"/>
    </row>
    <row r="14" spans="1:8" x14ac:dyDescent="0.25">
      <c r="A14" s="148" t="s">
        <v>1527</v>
      </c>
      <c r="B14" s="148" t="s">
        <v>1538</v>
      </c>
      <c r="C14" s="148" t="s">
        <v>1514</v>
      </c>
      <c r="D14" s="148" t="s">
        <v>1533</v>
      </c>
      <c r="E14" s="152">
        <v>40850</v>
      </c>
      <c r="F14" s="149">
        <v>2</v>
      </c>
      <c r="G14" s="149">
        <v>1292</v>
      </c>
      <c r="H14" s="155"/>
    </row>
    <row r="15" spans="1:8" x14ac:dyDescent="0.25">
      <c r="A15" s="148" t="s">
        <v>1518</v>
      </c>
      <c r="B15" s="148" t="s">
        <v>1538</v>
      </c>
      <c r="C15" s="148" t="s">
        <v>1523</v>
      </c>
      <c r="D15" s="148" t="s">
        <v>1531</v>
      </c>
      <c r="E15" s="152">
        <v>40295</v>
      </c>
      <c r="F15" s="149">
        <v>2</v>
      </c>
      <c r="G15" s="149">
        <v>1648</v>
      </c>
      <c r="H15" s="155"/>
    </row>
    <row r="16" spans="1:8" x14ac:dyDescent="0.25">
      <c r="A16" s="148" t="s">
        <v>1526</v>
      </c>
      <c r="B16" s="148" t="s">
        <v>1538</v>
      </c>
      <c r="C16" s="148" t="s">
        <v>1517</v>
      </c>
      <c r="D16" s="148" t="s">
        <v>1531</v>
      </c>
      <c r="E16" s="152">
        <v>40361</v>
      </c>
      <c r="F16" s="149">
        <v>2</v>
      </c>
      <c r="G16" s="149">
        <v>978</v>
      </c>
      <c r="H16" s="155"/>
    </row>
    <row r="17" spans="1:7" x14ac:dyDescent="0.25">
      <c r="A17" s="148" t="s">
        <v>1521</v>
      </c>
      <c r="B17" s="148" t="s">
        <v>1538</v>
      </c>
      <c r="C17" s="148" t="s">
        <v>1523</v>
      </c>
      <c r="D17" s="148" t="s">
        <v>1530</v>
      </c>
      <c r="E17" s="152">
        <v>40383</v>
      </c>
      <c r="F17" s="149">
        <v>2</v>
      </c>
      <c r="G17" s="149">
        <v>1242</v>
      </c>
    </row>
    <row r="18" spans="1:7" x14ac:dyDescent="0.25">
      <c r="A18" s="148" t="s">
        <v>1529</v>
      </c>
      <c r="B18" s="148" t="s">
        <v>1538</v>
      </c>
      <c r="C18" s="148" t="s">
        <v>1517</v>
      </c>
      <c r="D18" s="148" t="s">
        <v>1530</v>
      </c>
      <c r="E18" s="152">
        <v>40186</v>
      </c>
      <c r="F18" s="149">
        <v>2</v>
      </c>
      <c r="G18" s="153">
        <v>1316</v>
      </c>
    </row>
    <row r="19" spans="1:7" x14ac:dyDescent="0.25">
      <c r="A19" s="148" t="s">
        <v>1534</v>
      </c>
      <c r="B19" s="148" t="s">
        <v>1538</v>
      </c>
      <c r="C19" s="148" t="s">
        <v>1514</v>
      </c>
      <c r="D19" s="148" t="s">
        <v>1530</v>
      </c>
      <c r="E19" s="152">
        <v>40687</v>
      </c>
      <c r="F19" s="149">
        <v>2</v>
      </c>
      <c r="G19" s="149">
        <v>1466</v>
      </c>
    </row>
    <row r="20" spans="1:7" x14ac:dyDescent="0.25">
      <c r="A20" s="148" t="s">
        <v>1524</v>
      </c>
      <c r="B20" s="148" t="s">
        <v>1538</v>
      </c>
      <c r="C20" s="148" t="s">
        <v>1514</v>
      </c>
      <c r="D20" s="148" t="s">
        <v>1528</v>
      </c>
      <c r="E20" s="152">
        <v>40504</v>
      </c>
      <c r="F20" s="149">
        <v>2</v>
      </c>
      <c r="G20" s="149">
        <v>1350</v>
      </c>
    </row>
    <row r="21" spans="1:7" x14ac:dyDescent="0.25">
      <c r="A21" s="148" t="s">
        <v>1527</v>
      </c>
      <c r="B21" s="148" t="s">
        <v>1538</v>
      </c>
      <c r="C21" s="148" t="s">
        <v>1519</v>
      </c>
      <c r="D21" s="148" t="s">
        <v>1533</v>
      </c>
      <c r="E21" s="152">
        <v>40561</v>
      </c>
      <c r="F21" s="149">
        <v>3</v>
      </c>
      <c r="G21" s="149">
        <v>2508</v>
      </c>
    </row>
    <row r="22" spans="1:7" x14ac:dyDescent="0.25">
      <c r="A22" s="148" t="s">
        <v>1518</v>
      </c>
      <c r="B22" s="148" t="s">
        <v>1538</v>
      </c>
      <c r="C22" s="148" t="s">
        <v>1517</v>
      </c>
      <c r="D22" s="148" t="s">
        <v>1531</v>
      </c>
      <c r="E22" s="152">
        <v>40338</v>
      </c>
      <c r="F22" s="149">
        <v>3</v>
      </c>
      <c r="G22" s="149">
        <v>2058</v>
      </c>
    </row>
    <row r="23" spans="1:7" x14ac:dyDescent="0.25">
      <c r="A23" s="148" t="s">
        <v>1527</v>
      </c>
      <c r="B23" s="148" t="s">
        <v>1538</v>
      </c>
      <c r="C23" s="148" t="s">
        <v>1517</v>
      </c>
      <c r="D23" s="148" t="s">
        <v>1531</v>
      </c>
      <c r="E23" s="152">
        <v>40827</v>
      </c>
      <c r="F23" s="149">
        <v>3</v>
      </c>
      <c r="G23" s="149">
        <v>2253</v>
      </c>
    </row>
    <row r="24" spans="1:7" x14ac:dyDescent="0.25">
      <c r="A24" s="148" t="s">
        <v>1532</v>
      </c>
      <c r="B24" s="148" t="s">
        <v>1538</v>
      </c>
      <c r="C24" s="148" t="s">
        <v>1514</v>
      </c>
      <c r="D24" s="148" t="s">
        <v>1531</v>
      </c>
      <c r="E24" s="152">
        <v>40369</v>
      </c>
      <c r="F24" s="149">
        <v>3</v>
      </c>
      <c r="G24" s="149">
        <v>2649</v>
      </c>
    </row>
    <row r="25" spans="1:7" x14ac:dyDescent="0.25">
      <c r="A25" s="148" t="s">
        <v>1520</v>
      </c>
      <c r="B25" s="148" t="s">
        <v>1538</v>
      </c>
      <c r="C25" s="148" t="s">
        <v>1519</v>
      </c>
      <c r="D25" s="148" t="s">
        <v>1530</v>
      </c>
      <c r="E25" s="152">
        <v>40494</v>
      </c>
      <c r="F25" s="149">
        <v>3</v>
      </c>
      <c r="G25" s="149">
        <v>1542</v>
      </c>
    </row>
    <row r="26" spans="1:7" x14ac:dyDescent="0.25">
      <c r="A26" s="148" t="s">
        <v>1527</v>
      </c>
      <c r="B26" s="148" t="s">
        <v>1538</v>
      </c>
      <c r="C26" s="148" t="s">
        <v>1517</v>
      </c>
      <c r="D26" s="148" t="s">
        <v>1530</v>
      </c>
      <c r="E26" s="152">
        <v>40896</v>
      </c>
      <c r="F26" s="149">
        <v>3</v>
      </c>
      <c r="G26" s="149">
        <v>1386</v>
      </c>
    </row>
    <row r="27" spans="1:7" x14ac:dyDescent="0.25">
      <c r="A27" s="148" t="s">
        <v>1518</v>
      </c>
      <c r="B27" s="148" t="s">
        <v>1538</v>
      </c>
      <c r="C27" s="148" t="s">
        <v>1514</v>
      </c>
      <c r="D27" s="148" t="s">
        <v>1530</v>
      </c>
      <c r="E27" s="152">
        <v>40701</v>
      </c>
      <c r="F27" s="149">
        <v>3</v>
      </c>
      <c r="G27" s="149">
        <v>1896</v>
      </c>
    </row>
    <row r="28" spans="1:7" x14ac:dyDescent="0.25">
      <c r="A28" s="148" t="s">
        <v>1529</v>
      </c>
      <c r="B28" s="148" t="s">
        <v>1538</v>
      </c>
      <c r="C28" s="148" t="s">
        <v>1519</v>
      </c>
      <c r="D28" s="148" t="s">
        <v>1528</v>
      </c>
      <c r="E28" s="152">
        <v>40863</v>
      </c>
      <c r="F28" s="149">
        <v>3</v>
      </c>
      <c r="G28" s="149">
        <v>2337</v>
      </c>
    </row>
    <row r="29" spans="1:7" x14ac:dyDescent="0.25">
      <c r="A29" s="148" t="s">
        <v>1527</v>
      </c>
      <c r="B29" s="148" t="s">
        <v>1538</v>
      </c>
      <c r="C29" s="148" t="s">
        <v>1514</v>
      </c>
      <c r="D29" s="148" t="s">
        <v>1528</v>
      </c>
      <c r="E29" s="152">
        <v>40344</v>
      </c>
      <c r="F29" s="149">
        <v>3</v>
      </c>
      <c r="G29" s="149">
        <v>1659</v>
      </c>
    </row>
    <row r="30" spans="1:7" x14ac:dyDescent="0.25">
      <c r="A30" s="148" t="s">
        <v>1518</v>
      </c>
      <c r="B30" s="148" t="s">
        <v>1538</v>
      </c>
      <c r="C30" s="148" t="s">
        <v>1519</v>
      </c>
      <c r="D30" s="148" t="s">
        <v>1533</v>
      </c>
      <c r="E30" s="152">
        <v>40479</v>
      </c>
      <c r="F30" s="149">
        <v>4</v>
      </c>
      <c r="G30" s="149">
        <v>2116</v>
      </c>
    </row>
    <row r="31" spans="1:7" x14ac:dyDescent="0.25">
      <c r="A31" s="148" t="s">
        <v>1527</v>
      </c>
      <c r="B31" s="148" t="s">
        <v>1538</v>
      </c>
      <c r="C31" s="148" t="s">
        <v>1517</v>
      </c>
      <c r="D31" s="148" t="s">
        <v>1533</v>
      </c>
      <c r="E31" s="152">
        <v>40411</v>
      </c>
      <c r="F31" s="149">
        <v>4</v>
      </c>
      <c r="G31" s="149">
        <v>3052</v>
      </c>
    </row>
    <row r="32" spans="1:7" x14ac:dyDescent="0.25">
      <c r="A32" s="148" t="s">
        <v>1516</v>
      </c>
      <c r="B32" s="148" t="s">
        <v>1538</v>
      </c>
      <c r="C32" s="148" t="s">
        <v>1517</v>
      </c>
      <c r="D32" s="148" t="s">
        <v>1531</v>
      </c>
      <c r="E32" s="152">
        <v>40217</v>
      </c>
      <c r="F32" s="149">
        <v>4</v>
      </c>
      <c r="G32" s="153">
        <v>2656</v>
      </c>
    </row>
    <row r="33" spans="1:7" x14ac:dyDescent="0.25">
      <c r="A33" s="148" t="s">
        <v>1521</v>
      </c>
      <c r="B33" s="148" t="s">
        <v>1538</v>
      </c>
      <c r="C33" s="148" t="s">
        <v>1523</v>
      </c>
      <c r="D33" s="148" t="s">
        <v>1530</v>
      </c>
      <c r="E33" s="152">
        <v>40280</v>
      </c>
      <c r="F33" s="149">
        <v>4</v>
      </c>
      <c r="G33" s="149">
        <v>3512</v>
      </c>
    </row>
    <row r="34" spans="1:7" x14ac:dyDescent="0.25">
      <c r="A34" s="148" t="s">
        <v>1529</v>
      </c>
      <c r="B34" s="148" t="s">
        <v>1538</v>
      </c>
      <c r="C34" s="148" t="s">
        <v>1517</v>
      </c>
      <c r="D34" s="148" t="s">
        <v>1530</v>
      </c>
      <c r="E34" s="152">
        <v>40591</v>
      </c>
      <c r="F34" s="149">
        <v>4</v>
      </c>
      <c r="G34" s="149">
        <v>2092</v>
      </c>
    </row>
    <row r="35" spans="1:7" x14ac:dyDescent="0.25">
      <c r="A35" s="148" t="s">
        <v>1524</v>
      </c>
      <c r="B35" s="148" t="s">
        <v>1538</v>
      </c>
      <c r="C35" s="148" t="s">
        <v>1517</v>
      </c>
      <c r="D35" s="148" t="s">
        <v>1530</v>
      </c>
      <c r="E35" s="152">
        <v>40814</v>
      </c>
      <c r="F35" s="149">
        <v>4</v>
      </c>
      <c r="G35" s="149">
        <v>2720</v>
      </c>
    </row>
    <row r="36" spans="1:7" x14ac:dyDescent="0.25">
      <c r="A36" s="148" t="s">
        <v>1520</v>
      </c>
      <c r="B36" s="148" t="s">
        <v>1538</v>
      </c>
      <c r="C36" s="148" t="s">
        <v>1514</v>
      </c>
      <c r="D36" s="148" t="s">
        <v>1530</v>
      </c>
      <c r="E36" s="152">
        <v>40687</v>
      </c>
      <c r="F36" s="149">
        <v>4</v>
      </c>
      <c r="G36" s="149">
        <v>2580</v>
      </c>
    </row>
    <row r="37" spans="1:7" x14ac:dyDescent="0.25">
      <c r="A37" s="148" t="s">
        <v>1527</v>
      </c>
      <c r="B37" s="148" t="s">
        <v>1538</v>
      </c>
      <c r="C37" s="148" t="s">
        <v>1517</v>
      </c>
      <c r="D37" s="148" t="s">
        <v>1528</v>
      </c>
      <c r="E37" s="152">
        <v>40427</v>
      </c>
      <c r="F37" s="149">
        <v>4</v>
      </c>
      <c r="G37" s="149">
        <v>3420</v>
      </c>
    </row>
    <row r="38" spans="1:7" x14ac:dyDescent="0.25">
      <c r="A38" s="148" t="s">
        <v>1516</v>
      </c>
      <c r="B38" s="148" t="s">
        <v>1538</v>
      </c>
      <c r="C38" s="148" t="s">
        <v>1517</v>
      </c>
      <c r="D38" s="148" t="s">
        <v>1528</v>
      </c>
      <c r="E38" s="152">
        <v>40442</v>
      </c>
      <c r="F38" s="149">
        <v>4</v>
      </c>
      <c r="G38" s="149">
        <v>2276</v>
      </c>
    </row>
    <row r="39" spans="1:7" x14ac:dyDescent="0.25">
      <c r="A39" s="148" t="s">
        <v>1534</v>
      </c>
      <c r="B39" s="148" t="s">
        <v>1538</v>
      </c>
      <c r="C39" s="148" t="s">
        <v>1523</v>
      </c>
      <c r="D39" s="148" t="s">
        <v>1533</v>
      </c>
      <c r="E39" s="152">
        <v>40884</v>
      </c>
      <c r="F39" s="149">
        <v>5</v>
      </c>
      <c r="G39" s="149">
        <v>3315</v>
      </c>
    </row>
    <row r="40" spans="1:7" x14ac:dyDescent="0.25">
      <c r="A40" s="148" t="s">
        <v>1516</v>
      </c>
      <c r="B40" s="148" t="s">
        <v>1538</v>
      </c>
      <c r="C40" s="148" t="s">
        <v>1514</v>
      </c>
      <c r="D40" s="148" t="s">
        <v>1533</v>
      </c>
      <c r="E40" s="152">
        <v>40326</v>
      </c>
      <c r="F40" s="149">
        <v>5</v>
      </c>
      <c r="G40" s="149">
        <v>3130</v>
      </c>
    </row>
    <row r="41" spans="1:7" x14ac:dyDescent="0.25">
      <c r="A41" s="148" t="s">
        <v>1526</v>
      </c>
      <c r="B41" s="148" t="s">
        <v>1538</v>
      </c>
      <c r="C41" s="148" t="s">
        <v>1523</v>
      </c>
      <c r="D41" s="148" t="s">
        <v>1531</v>
      </c>
      <c r="E41" s="152">
        <v>40499</v>
      </c>
      <c r="F41" s="149">
        <v>5</v>
      </c>
      <c r="G41" s="149">
        <v>3765</v>
      </c>
    </row>
    <row r="42" spans="1:7" x14ac:dyDescent="0.25">
      <c r="A42" s="148" t="s">
        <v>1526</v>
      </c>
      <c r="B42" s="148" t="s">
        <v>1538</v>
      </c>
      <c r="C42" s="148" t="s">
        <v>1519</v>
      </c>
      <c r="D42" s="148" t="s">
        <v>1531</v>
      </c>
      <c r="E42" s="152">
        <v>40207</v>
      </c>
      <c r="F42" s="149">
        <v>5</v>
      </c>
      <c r="G42" s="153">
        <v>4475</v>
      </c>
    </row>
    <row r="43" spans="1:7" x14ac:dyDescent="0.25">
      <c r="A43" s="148" t="s">
        <v>1522</v>
      </c>
      <c r="B43" s="148" t="s">
        <v>1538</v>
      </c>
      <c r="C43" s="148" t="s">
        <v>1517</v>
      </c>
      <c r="D43" s="148" t="s">
        <v>1531</v>
      </c>
      <c r="E43" s="152">
        <v>40225</v>
      </c>
      <c r="F43" s="149">
        <v>5</v>
      </c>
      <c r="G43" s="153">
        <v>2910</v>
      </c>
    </row>
    <row r="44" spans="1:7" x14ac:dyDescent="0.25">
      <c r="A44" s="148" t="s">
        <v>1532</v>
      </c>
      <c r="B44" s="148" t="s">
        <v>1538</v>
      </c>
      <c r="C44" s="148" t="s">
        <v>1514</v>
      </c>
      <c r="D44" s="148" t="s">
        <v>1531</v>
      </c>
      <c r="E44" s="152">
        <v>40470</v>
      </c>
      <c r="F44" s="149">
        <v>5</v>
      </c>
      <c r="G44" s="149">
        <v>2315</v>
      </c>
    </row>
    <row r="45" spans="1:7" x14ac:dyDescent="0.25">
      <c r="A45" s="148" t="s">
        <v>1527</v>
      </c>
      <c r="B45" s="148" t="s">
        <v>1538</v>
      </c>
      <c r="C45" s="148" t="s">
        <v>1523</v>
      </c>
      <c r="D45" s="148" t="s">
        <v>1530</v>
      </c>
      <c r="E45" s="152">
        <v>40841</v>
      </c>
      <c r="F45" s="149">
        <v>5</v>
      </c>
      <c r="G45" s="149">
        <v>2530</v>
      </c>
    </row>
    <row r="46" spans="1:7" x14ac:dyDescent="0.25">
      <c r="A46" s="148" t="s">
        <v>1516</v>
      </c>
      <c r="B46" s="148" t="s">
        <v>1538</v>
      </c>
      <c r="C46" s="148" t="s">
        <v>1519</v>
      </c>
      <c r="D46" s="148" t="s">
        <v>1530</v>
      </c>
      <c r="E46" s="152">
        <v>40394</v>
      </c>
      <c r="F46" s="149">
        <v>5</v>
      </c>
      <c r="G46" s="149">
        <v>3110</v>
      </c>
    </row>
    <row r="47" spans="1:7" x14ac:dyDescent="0.25">
      <c r="A47" s="148" t="s">
        <v>1529</v>
      </c>
      <c r="B47" s="148" t="s">
        <v>1538</v>
      </c>
      <c r="C47" s="148" t="s">
        <v>1523</v>
      </c>
      <c r="D47" s="148" t="s">
        <v>1528</v>
      </c>
      <c r="E47" s="152">
        <v>40729</v>
      </c>
      <c r="F47" s="149">
        <v>5</v>
      </c>
      <c r="G47" s="149">
        <v>3970</v>
      </c>
    </row>
    <row r="48" spans="1:7" x14ac:dyDescent="0.25">
      <c r="A48" s="148" t="s">
        <v>1521</v>
      </c>
      <c r="B48" s="148" t="s">
        <v>1538</v>
      </c>
      <c r="C48" s="148" t="s">
        <v>1523</v>
      </c>
      <c r="D48" s="148" t="s">
        <v>1528</v>
      </c>
      <c r="E48" s="152">
        <v>40754</v>
      </c>
      <c r="F48" s="149">
        <v>5</v>
      </c>
      <c r="G48" s="149">
        <v>3135</v>
      </c>
    </row>
    <row r="49" spans="1:7" x14ac:dyDescent="0.25">
      <c r="A49" s="148" t="s">
        <v>1518</v>
      </c>
      <c r="B49" s="148" t="s">
        <v>1538</v>
      </c>
      <c r="C49" s="148" t="s">
        <v>1514</v>
      </c>
      <c r="D49" s="148" t="s">
        <v>1528</v>
      </c>
      <c r="E49" s="152">
        <v>40653</v>
      </c>
      <c r="F49" s="149">
        <v>5</v>
      </c>
      <c r="G49" s="149">
        <v>3400</v>
      </c>
    </row>
    <row r="50" spans="1:7" x14ac:dyDescent="0.25">
      <c r="A50" s="148" t="s">
        <v>1518</v>
      </c>
      <c r="B50" s="148" t="s">
        <v>1538</v>
      </c>
      <c r="C50" s="148" t="s">
        <v>1523</v>
      </c>
      <c r="D50" s="148" t="s">
        <v>1513</v>
      </c>
      <c r="E50" s="152">
        <v>40191</v>
      </c>
      <c r="F50" s="149">
        <v>6</v>
      </c>
      <c r="G50" s="149">
        <v>5346</v>
      </c>
    </row>
    <row r="51" spans="1:7" x14ac:dyDescent="0.25">
      <c r="A51" s="148" t="s">
        <v>1526</v>
      </c>
      <c r="B51" s="148" t="s">
        <v>1538</v>
      </c>
      <c r="C51" s="148" t="s">
        <v>1514</v>
      </c>
      <c r="D51" s="148" t="s">
        <v>1513</v>
      </c>
      <c r="E51" s="152">
        <v>40448</v>
      </c>
      <c r="F51" s="149">
        <v>6</v>
      </c>
      <c r="G51" s="149">
        <v>3738</v>
      </c>
    </row>
    <row r="52" spans="1:7" x14ac:dyDescent="0.25">
      <c r="A52" s="148" t="s">
        <v>1526</v>
      </c>
      <c r="B52" s="148" t="s">
        <v>1538</v>
      </c>
      <c r="C52" s="148" t="s">
        <v>1514</v>
      </c>
      <c r="D52" s="148" t="s">
        <v>1513</v>
      </c>
      <c r="E52" s="152">
        <v>40556</v>
      </c>
      <c r="F52" s="149">
        <v>6</v>
      </c>
      <c r="G52" s="149">
        <v>4434</v>
      </c>
    </row>
    <row r="53" spans="1:7" x14ac:dyDescent="0.25">
      <c r="A53" s="148" t="s">
        <v>1520</v>
      </c>
      <c r="B53" s="148" t="s">
        <v>1538</v>
      </c>
      <c r="C53" s="148" t="s">
        <v>1519</v>
      </c>
      <c r="D53" s="148" t="s">
        <v>1531</v>
      </c>
      <c r="E53" s="152">
        <v>40306</v>
      </c>
      <c r="F53" s="149">
        <v>6</v>
      </c>
      <c r="G53" s="149">
        <v>3192</v>
      </c>
    </row>
    <row r="54" spans="1:7" x14ac:dyDescent="0.25">
      <c r="A54" s="148" t="s">
        <v>1527</v>
      </c>
      <c r="B54" s="148" t="s">
        <v>1538</v>
      </c>
      <c r="C54" s="148" t="s">
        <v>1519</v>
      </c>
      <c r="D54" s="148" t="s">
        <v>1531</v>
      </c>
      <c r="E54" s="152">
        <v>40870</v>
      </c>
      <c r="F54" s="149">
        <v>6</v>
      </c>
      <c r="G54" s="149">
        <v>4824</v>
      </c>
    </row>
    <row r="55" spans="1:7" x14ac:dyDescent="0.25">
      <c r="A55" s="148" t="s">
        <v>1520</v>
      </c>
      <c r="B55" s="148" t="s">
        <v>1538</v>
      </c>
      <c r="C55" s="148" t="s">
        <v>1514</v>
      </c>
      <c r="D55" s="148" t="s">
        <v>1531</v>
      </c>
      <c r="E55" s="152">
        <v>40578</v>
      </c>
      <c r="F55" s="149">
        <v>6</v>
      </c>
      <c r="G55" s="149">
        <v>4992</v>
      </c>
    </row>
    <row r="56" spans="1:7" x14ac:dyDescent="0.25">
      <c r="A56" s="148" t="s">
        <v>1518</v>
      </c>
      <c r="B56" s="148" t="s">
        <v>1538</v>
      </c>
      <c r="C56" s="148" t="s">
        <v>1519</v>
      </c>
      <c r="D56" s="148" t="s">
        <v>1530</v>
      </c>
      <c r="E56" s="152">
        <v>40532</v>
      </c>
      <c r="F56" s="149">
        <v>6</v>
      </c>
      <c r="G56" s="149">
        <v>3150</v>
      </c>
    </row>
    <row r="57" spans="1:7" x14ac:dyDescent="0.25">
      <c r="A57" s="148" t="s">
        <v>1525</v>
      </c>
      <c r="B57" s="148" t="s">
        <v>1538</v>
      </c>
      <c r="C57" s="148" t="s">
        <v>1523</v>
      </c>
      <c r="D57" s="148" t="s">
        <v>1528</v>
      </c>
      <c r="E57" s="152">
        <v>40303</v>
      </c>
      <c r="F57" s="149">
        <v>6</v>
      </c>
      <c r="G57" s="149">
        <v>4134</v>
      </c>
    </row>
    <row r="58" spans="1:7" x14ac:dyDescent="0.25">
      <c r="A58" s="148" t="s">
        <v>1521</v>
      </c>
      <c r="B58" s="148" t="s">
        <v>1538</v>
      </c>
      <c r="C58" s="148" t="s">
        <v>1519</v>
      </c>
      <c r="D58" s="148" t="s">
        <v>1528</v>
      </c>
      <c r="E58" s="152">
        <v>40347</v>
      </c>
      <c r="F58" s="149">
        <v>6</v>
      </c>
      <c r="G58" s="149">
        <v>4002</v>
      </c>
    </row>
    <row r="59" spans="1:7" x14ac:dyDescent="0.25">
      <c r="A59" s="148" t="s">
        <v>1527</v>
      </c>
      <c r="B59" s="148" t="s">
        <v>1538</v>
      </c>
      <c r="C59" s="148" t="s">
        <v>1519</v>
      </c>
      <c r="D59" s="148" t="s">
        <v>1533</v>
      </c>
      <c r="E59" s="152">
        <v>40523</v>
      </c>
      <c r="F59" s="149">
        <v>7</v>
      </c>
      <c r="G59" s="149">
        <v>5362</v>
      </c>
    </row>
    <row r="60" spans="1:7" x14ac:dyDescent="0.25">
      <c r="A60" s="148" t="s">
        <v>1534</v>
      </c>
      <c r="B60" s="148" t="s">
        <v>1538</v>
      </c>
      <c r="C60" s="148" t="s">
        <v>1519</v>
      </c>
      <c r="D60" s="148" t="s">
        <v>1533</v>
      </c>
      <c r="E60" s="152">
        <v>40848</v>
      </c>
      <c r="F60" s="149">
        <v>7</v>
      </c>
      <c r="G60" s="149">
        <v>5383</v>
      </c>
    </row>
    <row r="61" spans="1:7" x14ac:dyDescent="0.25">
      <c r="A61" s="148" t="s">
        <v>1532</v>
      </c>
      <c r="B61" s="148" t="s">
        <v>1538</v>
      </c>
      <c r="C61" s="148" t="s">
        <v>1514</v>
      </c>
      <c r="D61" s="148" t="s">
        <v>1533</v>
      </c>
      <c r="E61" s="152">
        <v>40550</v>
      </c>
      <c r="F61" s="149">
        <v>7</v>
      </c>
      <c r="G61" s="149">
        <v>2905</v>
      </c>
    </row>
    <row r="62" spans="1:7" x14ac:dyDescent="0.25">
      <c r="A62" s="148" t="s">
        <v>1529</v>
      </c>
      <c r="B62" s="148" t="s">
        <v>1538</v>
      </c>
      <c r="C62" s="148" t="s">
        <v>1514</v>
      </c>
      <c r="D62" s="148" t="s">
        <v>1533</v>
      </c>
      <c r="E62" s="152">
        <v>40857</v>
      </c>
      <c r="F62" s="149">
        <v>7</v>
      </c>
      <c r="G62" s="149">
        <v>5635</v>
      </c>
    </row>
    <row r="63" spans="1:7" x14ac:dyDescent="0.25">
      <c r="A63" s="148" t="s">
        <v>1529</v>
      </c>
      <c r="B63" s="148" t="s">
        <v>1538</v>
      </c>
      <c r="C63" s="148" t="s">
        <v>1519</v>
      </c>
      <c r="D63" s="148" t="s">
        <v>1513</v>
      </c>
      <c r="E63" s="152">
        <v>40628</v>
      </c>
      <c r="F63" s="149">
        <v>7</v>
      </c>
      <c r="G63" s="149">
        <v>3255</v>
      </c>
    </row>
    <row r="64" spans="1:7" x14ac:dyDescent="0.25">
      <c r="A64" s="148" t="s">
        <v>1516</v>
      </c>
      <c r="B64" s="148" t="s">
        <v>1538</v>
      </c>
      <c r="C64" s="148" t="s">
        <v>1519</v>
      </c>
      <c r="D64" s="148" t="s">
        <v>1513</v>
      </c>
      <c r="E64" s="152">
        <v>40684</v>
      </c>
      <c r="F64" s="149">
        <v>7</v>
      </c>
      <c r="G64" s="149">
        <v>4571</v>
      </c>
    </row>
    <row r="65" spans="1:7" x14ac:dyDescent="0.25">
      <c r="A65" s="148" t="s">
        <v>1526</v>
      </c>
      <c r="B65" s="148" t="s">
        <v>1538</v>
      </c>
      <c r="C65" s="148" t="s">
        <v>1517</v>
      </c>
      <c r="D65" s="148" t="s">
        <v>1513</v>
      </c>
      <c r="E65" s="152">
        <v>40281</v>
      </c>
      <c r="F65" s="149">
        <v>7</v>
      </c>
      <c r="G65" s="149">
        <v>5922</v>
      </c>
    </row>
    <row r="66" spans="1:7" x14ac:dyDescent="0.25">
      <c r="A66" s="148" t="s">
        <v>1527</v>
      </c>
      <c r="B66" s="148" t="s">
        <v>1538</v>
      </c>
      <c r="C66" s="148" t="s">
        <v>1519</v>
      </c>
      <c r="D66" s="148" t="s">
        <v>1530</v>
      </c>
      <c r="E66" s="152">
        <v>40267</v>
      </c>
      <c r="F66" s="149">
        <v>7</v>
      </c>
      <c r="G66" s="149">
        <v>5866</v>
      </c>
    </row>
    <row r="67" spans="1:7" x14ac:dyDescent="0.25">
      <c r="A67" s="148" t="s">
        <v>1526</v>
      </c>
      <c r="B67" s="148" t="s">
        <v>1538</v>
      </c>
      <c r="C67" s="148" t="s">
        <v>1519</v>
      </c>
      <c r="D67" s="148" t="s">
        <v>1530</v>
      </c>
      <c r="E67" s="152">
        <v>40732</v>
      </c>
      <c r="F67" s="149">
        <v>7</v>
      </c>
      <c r="G67" s="149">
        <v>5040</v>
      </c>
    </row>
    <row r="68" spans="1:7" x14ac:dyDescent="0.25">
      <c r="A68" s="148" t="s">
        <v>1527</v>
      </c>
      <c r="B68" s="148" t="s">
        <v>1538</v>
      </c>
      <c r="C68" s="148" t="s">
        <v>1517</v>
      </c>
      <c r="D68" s="148" t="s">
        <v>1530</v>
      </c>
      <c r="E68" s="152">
        <v>40754</v>
      </c>
      <c r="F68" s="149">
        <v>7</v>
      </c>
      <c r="G68" s="149">
        <v>4270</v>
      </c>
    </row>
    <row r="69" spans="1:7" x14ac:dyDescent="0.25">
      <c r="A69" s="148" t="s">
        <v>1527</v>
      </c>
      <c r="B69" s="148" t="s">
        <v>1538</v>
      </c>
      <c r="C69" s="148" t="s">
        <v>1514</v>
      </c>
      <c r="D69" s="148" t="s">
        <v>1530</v>
      </c>
      <c r="E69" s="152">
        <v>40205</v>
      </c>
      <c r="F69" s="149">
        <v>7</v>
      </c>
      <c r="G69" s="153">
        <v>6083</v>
      </c>
    </row>
    <row r="70" spans="1:7" x14ac:dyDescent="0.25">
      <c r="A70" s="148" t="s">
        <v>1516</v>
      </c>
      <c r="B70" s="148" t="s">
        <v>1538</v>
      </c>
      <c r="C70" s="148" t="s">
        <v>1514</v>
      </c>
      <c r="D70" s="148" t="s">
        <v>1530</v>
      </c>
      <c r="E70" s="152">
        <v>40207</v>
      </c>
      <c r="F70" s="149">
        <v>7</v>
      </c>
      <c r="G70" s="153">
        <v>4984</v>
      </c>
    </row>
    <row r="71" spans="1:7" x14ac:dyDescent="0.25">
      <c r="A71" s="148" t="s">
        <v>1532</v>
      </c>
      <c r="B71" s="148" t="s">
        <v>1538</v>
      </c>
      <c r="C71" s="148" t="s">
        <v>1519</v>
      </c>
      <c r="D71" s="148" t="s">
        <v>1528</v>
      </c>
      <c r="E71" s="152">
        <v>40484</v>
      </c>
      <c r="F71" s="149">
        <v>7</v>
      </c>
      <c r="G71" s="149">
        <v>3388</v>
      </c>
    </row>
    <row r="72" spans="1:7" x14ac:dyDescent="0.25">
      <c r="A72" s="148" t="s">
        <v>1521</v>
      </c>
      <c r="B72" s="148" t="s">
        <v>1538</v>
      </c>
      <c r="C72" s="148" t="s">
        <v>1514</v>
      </c>
      <c r="D72" s="148" t="s">
        <v>1528</v>
      </c>
      <c r="E72" s="152">
        <v>40551</v>
      </c>
      <c r="F72" s="149">
        <v>7</v>
      </c>
      <c r="G72" s="149">
        <v>4984</v>
      </c>
    </row>
    <row r="73" spans="1:7" x14ac:dyDescent="0.25">
      <c r="A73" s="148" t="s">
        <v>1526</v>
      </c>
      <c r="B73" s="148" t="s">
        <v>1538</v>
      </c>
      <c r="C73" s="148" t="s">
        <v>1523</v>
      </c>
      <c r="D73" s="148" t="s">
        <v>1533</v>
      </c>
      <c r="E73" s="152">
        <v>40550</v>
      </c>
      <c r="F73" s="149">
        <v>8</v>
      </c>
      <c r="G73" s="149">
        <v>4448</v>
      </c>
    </row>
    <row r="74" spans="1:7" x14ac:dyDescent="0.25">
      <c r="A74" s="148" t="s">
        <v>1521</v>
      </c>
      <c r="B74" s="148" t="s">
        <v>1538</v>
      </c>
      <c r="C74" s="148" t="s">
        <v>1519</v>
      </c>
      <c r="D74" s="148" t="s">
        <v>1533</v>
      </c>
      <c r="E74" s="152">
        <v>40246</v>
      </c>
      <c r="F74" s="149">
        <v>8</v>
      </c>
      <c r="G74" s="153">
        <v>5808</v>
      </c>
    </row>
    <row r="75" spans="1:7" x14ac:dyDescent="0.25">
      <c r="A75" s="148" t="s">
        <v>1529</v>
      </c>
      <c r="B75" s="148" t="s">
        <v>1538</v>
      </c>
      <c r="C75" s="148" t="s">
        <v>1517</v>
      </c>
      <c r="D75" s="148" t="s">
        <v>1533</v>
      </c>
      <c r="E75" s="152">
        <v>40659</v>
      </c>
      <c r="F75" s="149">
        <v>8</v>
      </c>
      <c r="G75" s="149">
        <v>4016</v>
      </c>
    </row>
    <row r="76" spans="1:7" x14ac:dyDescent="0.25">
      <c r="A76" s="148" t="s">
        <v>1518</v>
      </c>
      <c r="B76" s="148" t="s">
        <v>1538</v>
      </c>
      <c r="C76" s="148" t="s">
        <v>1514</v>
      </c>
      <c r="D76" s="148" t="s">
        <v>1533</v>
      </c>
      <c r="E76" s="152">
        <v>40394</v>
      </c>
      <c r="F76" s="149">
        <v>8</v>
      </c>
      <c r="G76" s="149">
        <v>6520</v>
      </c>
    </row>
    <row r="77" spans="1:7" x14ac:dyDescent="0.25">
      <c r="A77" s="148" t="s">
        <v>1520</v>
      </c>
      <c r="B77" s="148" t="s">
        <v>1538</v>
      </c>
      <c r="C77" s="148" t="s">
        <v>1523</v>
      </c>
      <c r="D77" s="148" t="s">
        <v>1513</v>
      </c>
      <c r="E77" s="152">
        <v>40614</v>
      </c>
      <c r="F77" s="149">
        <v>8</v>
      </c>
      <c r="G77" s="149">
        <v>4128</v>
      </c>
    </row>
    <row r="78" spans="1:7" x14ac:dyDescent="0.25">
      <c r="A78" s="148" t="s">
        <v>1520</v>
      </c>
      <c r="B78" s="148" t="s">
        <v>1538</v>
      </c>
      <c r="C78" s="148" t="s">
        <v>1523</v>
      </c>
      <c r="D78" s="148" t="s">
        <v>1513</v>
      </c>
      <c r="E78" s="152">
        <v>40691</v>
      </c>
      <c r="F78" s="149">
        <v>8</v>
      </c>
      <c r="G78" s="149">
        <v>5640</v>
      </c>
    </row>
    <row r="79" spans="1:7" x14ac:dyDescent="0.25">
      <c r="A79" s="148" t="s">
        <v>1516</v>
      </c>
      <c r="B79" s="148" t="s">
        <v>1538</v>
      </c>
      <c r="C79" s="148" t="s">
        <v>1519</v>
      </c>
      <c r="D79" s="148" t="s">
        <v>1513</v>
      </c>
      <c r="E79" s="152">
        <v>40847</v>
      </c>
      <c r="F79" s="149">
        <v>8</v>
      </c>
      <c r="G79" s="149">
        <v>3664</v>
      </c>
    </row>
    <row r="80" spans="1:7" x14ac:dyDescent="0.25">
      <c r="A80" s="148" t="s">
        <v>1516</v>
      </c>
      <c r="B80" s="148" t="s">
        <v>1538</v>
      </c>
      <c r="C80" s="148" t="s">
        <v>1523</v>
      </c>
      <c r="D80" s="148" t="s">
        <v>1531</v>
      </c>
      <c r="E80" s="152">
        <v>40247</v>
      </c>
      <c r="F80" s="149">
        <v>8</v>
      </c>
      <c r="G80" s="153">
        <v>5512</v>
      </c>
    </row>
    <row r="81" spans="1:7" x14ac:dyDescent="0.25">
      <c r="A81" s="148" t="s">
        <v>1521</v>
      </c>
      <c r="B81" s="148" t="s">
        <v>1538</v>
      </c>
      <c r="C81" s="148" t="s">
        <v>1523</v>
      </c>
      <c r="D81" s="148" t="s">
        <v>1530</v>
      </c>
      <c r="E81" s="152">
        <v>40287</v>
      </c>
      <c r="F81" s="149">
        <v>8</v>
      </c>
      <c r="G81" s="149">
        <v>4600</v>
      </c>
    </row>
    <row r="82" spans="1:7" x14ac:dyDescent="0.25">
      <c r="A82" s="148" t="s">
        <v>1521</v>
      </c>
      <c r="B82" s="148" t="s">
        <v>1538</v>
      </c>
      <c r="C82" s="148" t="s">
        <v>1523</v>
      </c>
      <c r="D82" s="148" t="s">
        <v>1530</v>
      </c>
      <c r="E82" s="152">
        <v>40435</v>
      </c>
      <c r="F82" s="149">
        <v>8</v>
      </c>
      <c r="G82" s="149">
        <v>5880</v>
      </c>
    </row>
    <row r="83" spans="1:7" x14ac:dyDescent="0.25">
      <c r="A83" s="148" t="s">
        <v>1516</v>
      </c>
      <c r="B83" s="148" t="s">
        <v>1538</v>
      </c>
      <c r="C83" s="148" t="s">
        <v>1519</v>
      </c>
      <c r="D83" s="148" t="s">
        <v>1530</v>
      </c>
      <c r="E83" s="152">
        <v>40260</v>
      </c>
      <c r="F83" s="149">
        <v>8</v>
      </c>
      <c r="G83" s="149">
        <v>5616</v>
      </c>
    </row>
    <row r="84" spans="1:7" x14ac:dyDescent="0.25">
      <c r="A84" s="148" t="s">
        <v>1516</v>
      </c>
      <c r="B84" s="148" t="s">
        <v>1538</v>
      </c>
      <c r="C84" s="148" t="s">
        <v>1519</v>
      </c>
      <c r="D84" s="148" t="s">
        <v>1528</v>
      </c>
      <c r="E84" s="152">
        <v>40716</v>
      </c>
      <c r="F84" s="149">
        <v>8</v>
      </c>
      <c r="G84" s="149">
        <v>3872</v>
      </c>
    </row>
    <row r="85" spans="1:7" x14ac:dyDescent="0.25">
      <c r="A85" s="148" t="s">
        <v>1516</v>
      </c>
      <c r="B85" s="148" t="s">
        <v>1538</v>
      </c>
      <c r="C85" s="148" t="s">
        <v>1517</v>
      </c>
      <c r="D85" s="148" t="s">
        <v>1528</v>
      </c>
      <c r="E85" s="152">
        <v>40294</v>
      </c>
      <c r="F85" s="149">
        <v>8</v>
      </c>
      <c r="G85" s="149">
        <v>5976</v>
      </c>
    </row>
    <row r="86" spans="1:7" x14ac:dyDescent="0.25">
      <c r="A86" s="148" t="s">
        <v>1516</v>
      </c>
      <c r="B86" s="148" t="s">
        <v>1538</v>
      </c>
      <c r="C86" s="148" t="s">
        <v>1523</v>
      </c>
      <c r="D86" s="148" t="s">
        <v>1533</v>
      </c>
      <c r="E86" s="152">
        <v>40234</v>
      </c>
      <c r="F86" s="149">
        <v>9</v>
      </c>
      <c r="G86" s="153">
        <v>5814</v>
      </c>
    </row>
    <row r="87" spans="1:7" x14ac:dyDescent="0.25">
      <c r="A87" s="148" t="s">
        <v>1516</v>
      </c>
      <c r="B87" s="148" t="s">
        <v>1538</v>
      </c>
      <c r="C87" s="148" t="s">
        <v>1519</v>
      </c>
      <c r="D87" s="148" t="s">
        <v>1533</v>
      </c>
      <c r="E87" s="152">
        <v>40478</v>
      </c>
      <c r="F87" s="149">
        <v>9</v>
      </c>
      <c r="G87" s="149">
        <v>4194</v>
      </c>
    </row>
    <row r="88" spans="1:7" x14ac:dyDescent="0.25">
      <c r="A88" s="148" t="s">
        <v>1526</v>
      </c>
      <c r="B88" s="148" t="s">
        <v>1538</v>
      </c>
      <c r="C88" s="148" t="s">
        <v>1517</v>
      </c>
      <c r="D88" s="148" t="s">
        <v>1533</v>
      </c>
      <c r="E88" s="152">
        <v>40308</v>
      </c>
      <c r="F88" s="149">
        <v>9</v>
      </c>
      <c r="G88" s="149">
        <v>5274</v>
      </c>
    </row>
    <row r="89" spans="1:7" x14ac:dyDescent="0.25">
      <c r="A89" s="148" t="s">
        <v>1525</v>
      </c>
      <c r="B89" s="148" t="s">
        <v>1538</v>
      </c>
      <c r="C89" s="148" t="s">
        <v>1514</v>
      </c>
      <c r="D89" s="148" t="s">
        <v>1533</v>
      </c>
      <c r="E89" s="152">
        <v>40225</v>
      </c>
      <c r="F89" s="149">
        <v>9</v>
      </c>
      <c r="G89" s="153">
        <v>4788</v>
      </c>
    </row>
    <row r="90" spans="1:7" x14ac:dyDescent="0.25">
      <c r="A90" s="148" t="s">
        <v>1520</v>
      </c>
      <c r="B90" s="148" t="s">
        <v>1538</v>
      </c>
      <c r="C90" s="148" t="s">
        <v>1514</v>
      </c>
      <c r="D90" s="148" t="s">
        <v>1533</v>
      </c>
      <c r="E90" s="152">
        <v>40816</v>
      </c>
      <c r="F90" s="149">
        <v>9</v>
      </c>
      <c r="G90" s="149">
        <v>7920</v>
      </c>
    </row>
    <row r="91" spans="1:7" x14ac:dyDescent="0.25">
      <c r="A91" s="148" t="s">
        <v>1521</v>
      </c>
      <c r="B91" s="148" t="s">
        <v>1538</v>
      </c>
      <c r="C91" s="148" t="s">
        <v>1514</v>
      </c>
      <c r="D91" s="148" t="s">
        <v>1513</v>
      </c>
      <c r="E91" s="152">
        <v>40613</v>
      </c>
      <c r="F91" s="149">
        <v>9</v>
      </c>
      <c r="G91" s="149">
        <v>4644</v>
      </c>
    </row>
    <row r="92" spans="1:7" x14ac:dyDescent="0.25">
      <c r="A92" s="148" t="s">
        <v>1527</v>
      </c>
      <c r="B92" s="148" t="s">
        <v>1538</v>
      </c>
      <c r="C92" s="148" t="s">
        <v>1514</v>
      </c>
      <c r="D92" s="148" t="s">
        <v>1513</v>
      </c>
      <c r="E92" s="152">
        <v>40897</v>
      </c>
      <c r="F92" s="149">
        <v>9</v>
      </c>
      <c r="G92" s="149">
        <v>3987</v>
      </c>
    </row>
    <row r="93" spans="1:7" x14ac:dyDescent="0.25">
      <c r="A93" s="148" t="s">
        <v>1520</v>
      </c>
      <c r="B93" s="148" t="s">
        <v>1538</v>
      </c>
      <c r="C93" s="148" t="s">
        <v>1517</v>
      </c>
      <c r="D93" s="148" t="s">
        <v>1531</v>
      </c>
      <c r="E93" s="152">
        <v>40403</v>
      </c>
      <c r="F93" s="149">
        <v>9</v>
      </c>
      <c r="G93" s="149">
        <v>3744</v>
      </c>
    </row>
    <row r="94" spans="1:7" x14ac:dyDescent="0.25">
      <c r="A94" s="148" t="s">
        <v>1522</v>
      </c>
      <c r="B94" s="148" t="s">
        <v>1538</v>
      </c>
      <c r="C94" s="148" t="s">
        <v>1514</v>
      </c>
      <c r="D94" s="148" t="s">
        <v>1531</v>
      </c>
      <c r="E94" s="152">
        <v>40255</v>
      </c>
      <c r="F94" s="149">
        <v>9</v>
      </c>
      <c r="G94" s="149">
        <v>4662</v>
      </c>
    </row>
    <row r="95" spans="1:7" x14ac:dyDescent="0.25">
      <c r="A95" s="148" t="s">
        <v>1522</v>
      </c>
      <c r="B95" s="148" t="s">
        <v>1538</v>
      </c>
      <c r="C95" s="148" t="s">
        <v>1523</v>
      </c>
      <c r="D95" s="148" t="s">
        <v>1528</v>
      </c>
      <c r="E95" s="152">
        <v>40385</v>
      </c>
      <c r="F95" s="149">
        <v>9</v>
      </c>
      <c r="G95" s="149">
        <v>5391</v>
      </c>
    </row>
    <row r="96" spans="1:7" x14ac:dyDescent="0.25">
      <c r="A96" s="148" t="s">
        <v>1529</v>
      </c>
      <c r="B96" s="148" t="s">
        <v>1538</v>
      </c>
      <c r="C96" s="148" t="s">
        <v>1519</v>
      </c>
      <c r="D96" s="148" t="s">
        <v>1528</v>
      </c>
      <c r="E96" s="152">
        <v>40661</v>
      </c>
      <c r="F96" s="149">
        <v>9</v>
      </c>
      <c r="G96" s="149">
        <v>5940</v>
      </c>
    </row>
    <row r="97" spans="1:7" x14ac:dyDescent="0.25">
      <c r="A97" s="148" t="s">
        <v>1518</v>
      </c>
      <c r="B97" s="148" t="s">
        <v>1538</v>
      </c>
      <c r="C97" s="148" t="s">
        <v>1514</v>
      </c>
      <c r="D97" s="148" t="s">
        <v>1528</v>
      </c>
      <c r="E97" s="152">
        <v>40351</v>
      </c>
      <c r="F97" s="149">
        <v>9</v>
      </c>
      <c r="G97" s="149">
        <v>3690</v>
      </c>
    </row>
    <row r="98" spans="1:7" x14ac:dyDescent="0.25">
      <c r="A98" s="148" t="s">
        <v>1516</v>
      </c>
      <c r="B98" s="148" t="s">
        <v>1538</v>
      </c>
      <c r="C98" s="148" t="s">
        <v>1514</v>
      </c>
      <c r="D98" s="148" t="s">
        <v>1528</v>
      </c>
      <c r="E98" s="152">
        <v>40646</v>
      </c>
      <c r="F98" s="149">
        <v>9</v>
      </c>
      <c r="G98" s="149">
        <v>5526</v>
      </c>
    </row>
    <row r="99" spans="1:7" x14ac:dyDescent="0.25">
      <c r="A99" s="148" t="s">
        <v>1520</v>
      </c>
      <c r="B99" s="148" t="s">
        <v>1538</v>
      </c>
      <c r="C99" s="148" t="s">
        <v>1514</v>
      </c>
      <c r="D99" s="148" t="s">
        <v>1528</v>
      </c>
      <c r="E99" s="152">
        <v>40801</v>
      </c>
      <c r="F99" s="149">
        <v>9</v>
      </c>
      <c r="G99" s="149">
        <v>4059</v>
      </c>
    </row>
    <row r="100" spans="1:7" x14ac:dyDescent="0.25">
      <c r="A100" s="148" t="s">
        <v>1527</v>
      </c>
      <c r="B100" s="148" t="s">
        <v>1538</v>
      </c>
      <c r="C100" s="148" t="s">
        <v>1523</v>
      </c>
      <c r="D100" s="148" t="s">
        <v>1533</v>
      </c>
      <c r="E100" s="152">
        <v>40205</v>
      </c>
      <c r="F100" s="149">
        <v>10</v>
      </c>
      <c r="G100" s="153">
        <v>6720</v>
      </c>
    </row>
    <row r="101" spans="1:7" x14ac:dyDescent="0.25">
      <c r="A101" s="148" t="s">
        <v>1516</v>
      </c>
      <c r="B101" s="148" t="s">
        <v>1538</v>
      </c>
      <c r="C101" s="148" t="s">
        <v>1519</v>
      </c>
      <c r="D101" s="148" t="s">
        <v>1533</v>
      </c>
      <c r="E101" s="152">
        <v>40439</v>
      </c>
      <c r="F101" s="149">
        <v>10</v>
      </c>
      <c r="G101" s="149">
        <v>8470</v>
      </c>
    </row>
    <row r="102" spans="1:7" x14ac:dyDescent="0.25">
      <c r="A102" s="148" t="s">
        <v>1527</v>
      </c>
      <c r="B102" s="148" t="s">
        <v>1538</v>
      </c>
      <c r="C102" s="148" t="s">
        <v>1519</v>
      </c>
      <c r="D102" s="148" t="s">
        <v>1533</v>
      </c>
      <c r="E102" s="152">
        <v>40868</v>
      </c>
      <c r="F102" s="149">
        <v>10</v>
      </c>
      <c r="G102" s="149">
        <v>8420</v>
      </c>
    </row>
    <row r="103" spans="1:7" x14ac:dyDescent="0.25">
      <c r="A103" s="148" t="s">
        <v>1525</v>
      </c>
      <c r="B103" s="148" t="s">
        <v>1538</v>
      </c>
      <c r="C103" s="148" t="s">
        <v>1517</v>
      </c>
      <c r="D103" s="148" t="s">
        <v>1533</v>
      </c>
      <c r="E103" s="152">
        <v>40480</v>
      </c>
      <c r="F103" s="149">
        <v>10</v>
      </c>
      <c r="G103" s="149">
        <v>6960</v>
      </c>
    </row>
    <row r="104" spans="1:7" x14ac:dyDescent="0.25">
      <c r="A104" s="148" t="s">
        <v>1534</v>
      </c>
      <c r="B104" s="148" t="s">
        <v>1538</v>
      </c>
      <c r="C104" s="148" t="s">
        <v>1523</v>
      </c>
      <c r="D104" s="148" t="s">
        <v>1513</v>
      </c>
      <c r="E104" s="152">
        <v>40723</v>
      </c>
      <c r="F104" s="149">
        <v>10</v>
      </c>
      <c r="G104" s="149">
        <v>6120</v>
      </c>
    </row>
    <row r="105" spans="1:7" x14ac:dyDescent="0.25">
      <c r="A105" s="148" t="s">
        <v>1527</v>
      </c>
      <c r="B105" s="148" t="s">
        <v>1538</v>
      </c>
      <c r="C105" s="148" t="s">
        <v>1523</v>
      </c>
      <c r="D105" s="148" t="s">
        <v>1531</v>
      </c>
      <c r="E105" s="152">
        <v>40869</v>
      </c>
      <c r="F105" s="149">
        <v>10</v>
      </c>
      <c r="G105" s="149">
        <v>5700</v>
      </c>
    </row>
    <row r="106" spans="1:7" x14ac:dyDescent="0.25">
      <c r="A106" s="148" t="s">
        <v>1527</v>
      </c>
      <c r="B106" s="148" t="s">
        <v>1538</v>
      </c>
      <c r="C106" s="148" t="s">
        <v>1519</v>
      </c>
      <c r="D106" s="148" t="s">
        <v>1531</v>
      </c>
      <c r="E106" s="152">
        <v>40322</v>
      </c>
      <c r="F106" s="149">
        <v>10</v>
      </c>
      <c r="G106" s="149">
        <v>5960</v>
      </c>
    </row>
    <row r="107" spans="1:7" x14ac:dyDescent="0.25">
      <c r="A107" s="148" t="s">
        <v>1534</v>
      </c>
      <c r="B107" s="148" t="s">
        <v>1538</v>
      </c>
      <c r="C107" s="148" t="s">
        <v>1519</v>
      </c>
      <c r="D107" s="148" t="s">
        <v>1531</v>
      </c>
      <c r="E107" s="152">
        <v>40694</v>
      </c>
      <c r="F107" s="149">
        <v>10</v>
      </c>
      <c r="G107" s="149">
        <v>5810</v>
      </c>
    </row>
    <row r="108" spans="1:7" x14ac:dyDescent="0.25">
      <c r="A108" s="148" t="s">
        <v>1534</v>
      </c>
      <c r="B108" s="148" t="s">
        <v>1538</v>
      </c>
      <c r="C108" s="148" t="s">
        <v>1519</v>
      </c>
      <c r="D108" s="148" t="s">
        <v>1531</v>
      </c>
      <c r="E108" s="152">
        <v>40778</v>
      </c>
      <c r="F108" s="149">
        <v>10</v>
      </c>
      <c r="G108" s="149">
        <v>6330</v>
      </c>
    </row>
    <row r="109" spans="1:7" x14ac:dyDescent="0.25">
      <c r="A109" s="148" t="s">
        <v>1527</v>
      </c>
      <c r="B109" s="148" t="s">
        <v>1538</v>
      </c>
      <c r="C109" s="148" t="s">
        <v>1517</v>
      </c>
      <c r="D109" s="148" t="s">
        <v>1531</v>
      </c>
      <c r="E109" s="152">
        <v>40658</v>
      </c>
      <c r="F109" s="149">
        <v>10</v>
      </c>
      <c r="G109" s="149">
        <v>6410</v>
      </c>
    </row>
    <row r="110" spans="1:7" x14ac:dyDescent="0.25">
      <c r="A110" s="148" t="s">
        <v>1521</v>
      </c>
      <c r="B110" s="148" t="s">
        <v>1538</v>
      </c>
      <c r="C110" s="148" t="s">
        <v>1514</v>
      </c>
      <c r="D110" s="148" t="s">
        <v>1531</v>
      </c>
      <c r="E110" s="152">
        <v>40340</v>
      </c>
      <c r="F110" s="149">
        <v>10</v>
      </c>
      <c r="G110" s="149">
        <v>8090</v>
      </c>
    </row>
    <row r="111" spans="1:7" x14ac:dyDescent="0.25">
      <c r="A111" s="148" t="s">
        <v>1516</v>
      </c>
      <c r="B111" s="148" t="s">
        <v>1538</v>
      </c>
      <c r="C111" s="148" t="s">
        <v>1523</v>
      </c>
      <c r="D111" s="148" t="s">
        <v>1530</v>
      </c>
      <c r="E111" s="152">
        <v>40435</v>
      </c>
      <c r="F111" s="149">
        <v>10</v>
      </c>
      <c r="G111" s="149">
        <v>8360</v>
      </c>
    </row>
    <row r="112" spans="1:7" x14ac:dyDescent="0.25">
      <c r="A112" s="148" t="s">
        <v>1524</v>
      </c>
      <c r="B112" s="148" t="s">
        <v>1538</v>
      </c>
      <c r="C112" s="148" t="s">
        <v>1519</v>
      </c>
      <c r="D112" s="148" t="s">
        <v>1530</v>
      </c>
      <c r="E112" s="152">
        <v>40562</v>
      </c>
      <c r="F112" s="149">
        <v>10</v>
      </c>
      <c r="G112" s="149">
        <v>6350</v>
      </c>
    </row>
    <row r="113" spans="1:7" x14ac:dyDescent="0.25">
      <c r="A113" s="148" t="s">
        <v>1532</v>
      </c>
      <c r="B113" s="148" t="s">
        <v>1538</v>
      </c>
      <c r="C113" s="148" t="s">
        <v>1517</v>
      </c>
      <c r="D113" s="148" t="s">
        <v>1530</v>
      </c>
      <c r="E113" s="152">
        <v>40309</v>
      </c>
      <c r="F113" s="149">
        <v>10</v>
      </c>
      <c r="G113" s="149">
        <v>6030</v>
      </c>
    </row>
    <row r="114" spans="1:7" x14ac:dyDescent="0.25">
      <c r="A114" s="148" t="s">
        <v>1524</v>
      </c>
      <c r="B114" s="148" t="s">
        <v>1538</v>
      </c>
      <c r="C114" s="148" t="s">
        <v>1517</v>
      </c>
      <c r="D114" s="148" t="s">
        <v>1530</v>
      </c>
      <c r="E114" s="152">
        <v>40749</v>
      </c>
      <c r="F114" s="149">
        <v>10</v>
      </c>
      <c r="G114" s="149">
        <v>7210</v>
      </c>
    </row>
    <row r="115" spans="1:7" x14ac:dyDescent="0.25">
      <c r="A115" s="148" t="s">
        <v>1522</v>
      </c>
      <c r="B115" s="148" t="s">
        <v>1538</v>
      </c>
      <c r="C115" s="148" t="s">
        <v>1514</v>
      </c>
      <c r="D115" s="148" t="s">
        <v>1530</v>
      </c>
      <c r="E115" s="152">
        <v>40432</v>
      </c>
      <c r="F115" s="149">
        <v>10</v>
      </c>
      <c r="G115" s="149">
        <v>4080</v>
      </c>
    </row>
    <row r="116" spans="1:7" x14ac:dyDescent="0.25">
      <c r="A116" s="148" t="s">
        <v>1525</v>
      </c>
      <c r="B116" s="148" t="s">
        <v>1538</v>
      </c>
      <c r="C116" s="148" t="s">
        <v>1517</v>
      </c>
      <c r="D116" s="148" t="s">
        <v>1528</v>
      </c>
      <c r="E116" s="152">
        <v>40624</v>
      </c>
      <c r="F116" s="149">
        <v>10</v>
      </c>
      <c r="G116" s="149">
        <v>6920</v>
      </c>
    </row>
    <row r="117" spans="1:7" x14ac:dyDescent="0.25">
      <c r="A117" s="148" t="s">
        <v>1518</v>
      </c>
      <c r="B117" s="148" t="s">
        <v>1538</v>
      </c>
      <c r="C117" s="148" t="s">
        <v>1514</v>
      </c>
      <c r="D117" s="148" t="s">
        <v>1533</v>
      </c>
      <c r="E117" s="152">
        <v>40250</v>
      </c>
      <c r="F117" s="149">
        <v>11</v>
      </c>
      <c r="G117" s="153">
        <v>9746</v>
      </c>
    </row>
    <row r="118" spans="1:7" x14ac:dyDescent="0.25">
      <c r="A118" s="148" t="s">
        <v>1526</v>
      </c>
      <c r="B118" s="148" t="s">
        <v>1538</v>
      </c>
      <c r="C118" s="148" t="s">
        <v>1514</v>
      </c>
      <c r="D118" s="148" t="s">
        <v>1533</v>
      </c>
      <c r="E118" s="152">
        <v>40360</v>
      </c>
      <c r="F118" s="149">
        <v>11</v>
      </c>
      <c r="G118" s="149">
        <v>6314</v>
      </c>
    </row>
    <row r="119" spans="1:7" x14ac:dyDescent="0.25">
      <c r="A119" s="148" t="s">
        <v>1521</v>
      </c>
      <c r="B119" s="148" t="s">
        <v>1538</v>
      </c>
      <c r="C119" s="148" t="s">
        <v>1523</v>
      </c>
      <c r="D119" s="148" t="s">
        <v>1513</v>
      </c>
      <c r="E119" s="152">
        <v>40704</v>
      </c>
      <c r="F119" s="149">
        <v>11</v>
      </c>
      <c r="G119" s="149">
        <v>4466</v>
      </c>
    </row>
    <row r="120" spans="1:7" x14ac:dyDescent="0.25">
      <c r="A120" s="148" t="s">
        <v>1520</v>
      </c>
      <c r="B120" s="148" t="s">
        <v>1538</v>
      </c>
      <c r="C120" s="148" t="s">
        <v>1523</v>
      </c>
      <c r="D120" s="148" t="s">
        <v>1513</v>
      </c>
      <c r="E120" s="152">
        <v>40833</v>
      </c>
      <c r="F120" s="149">
        <v>11</v>
      </c>
      <c r="G120" s="149">
        <v>8041</v>
      </c>
    </row>
    <row r="121" spans="1:7" x14ac:dyDescent="0.25">
      <c r="A121" s="148" t="s">
        <v>1526</v>
      </c>
      <c r="B121" s="148" t="s">
        <v>1538</v>
      </c>
      <c r="C121" s="148" t="s">
        <v>1519</v>
      </c>
      <c r="D121" s="148" t="s">
        <v>1513</v>
      </c>
      <c r="E121" s="152">
        <v>40660</v>
      </c>
      <c r="F121" s="149">
        <v>11</v>
      </c>
      <c r="G121" s="149">
        <v>4807</v>
      </c>
    </row>
    <row r="122" spans="1:7" x14ac:dyDescent="0.25">
      <c r="A122" s="148" t="s">
        <v>1526</v>
      </c>
      <c r="B122" s="148" t="s">
        <v>1538</v>
      </c>
      <c r="C122" s="148" t="s">
        <v>1517</v>
      </c>
      <c r="D122" s="148" t="s">
        <v>1513</v>
      </c>
      <c r="E122" s="152">
        <v>40530</v>
      </c>
      <c r="F122" s="149">
        <v>11</v>
      </c>
      <c r="G122" s="149">
        <v>8635</v>
      </c>
    </row>
    <row r="123" spans="1:7" x14ac:dyDescent="0.25">
      <c r="A123" s="148" t="s">
        <v>1534</v>
      </c>
      <c r="B123" s="148" t="s">
        <v>1538</v>
      </c>
      <c r="C123" s="148" t="s">
        <v>1523</v>
      </c>
      <c r="D123" s="148" t="s">
        <v>1531</v>
      </c>
      <c r="E123" s="152">
        <v>40582</v>
      </c>
      <c r="F123" s="149">
        <v>11</v>
      </c>
      <c r="G123" s="149">
        <v>8393</v>
      </c>
    </row>
    <row r="124" spans="1:7" x14ac:dyDescent="0.25">
      <c r="A124" s="148" t="s">
        <v>1516</v>
      </c>
      <c r="B124" s="148" t="s">
        <v>1538</v>
      </c>
      <c r="C124" s="148" t="s">
        <v>1517</v>
      </c>
      <c r="D124" s="148" t="s">
        <v>1531</v>
      </c>
      <c r="E124" s="152">
        <v>40217</v>
      </c>
      <c r="F124" s="149">
        <v>11</v>
      </c>
      <c r="G124" s="153">
        <v>6875</v>
      </c>
    </row>
    <row r="125" spans="1:7" x14ac:dyDescent="0.25">
      <c r="A125" s="148" t="s">
        <v>1534</v>
      </c>
      <c r="B125" s="148" t="s">
        <v>1538</v>
      </c>
      <c r="C125" s="148" t="s">
        <v>1517</v>
      </c>
      <c r="D125" s="148" t="s">
        <v>1531</v>
      </c>
      <c r="E125" s="152">
        <v>40814</v>
      </c>
      <c r="F125" s="149">
        <v>11</v>
      </c>
      <c r="G125" s="149">
        <v>5082</v>
      </c>
    </row>
    <row r="126" spans="1:7" x14ac:dyDescent="0.25">
      <c r="A126" s="148" t="s">
        <v>1522</v>
      </c>
      <c r="B126" s="148" t="s">
        <v>1538</v>
      </c>
      <c r="C126" s="148" t="s">
        <v>1523</v>
      </c>
      <c r="D126" s="148" t="s">
        <v>1530</v>
      </c>
      <c r="E126" s="152">
        <v>40438</v>
      </c>
      <c r="F126" s="149">
        <v>11</v>
      </c>
      <c r="G126" s="149">
        <v>9460</v>
      </c>
    </row>
    <row r="127" spans="1:7" x14ac:dyDescent="0.25">
      <c r="A127" s="148" t="s">
        <v>1525</v>
      </c>
      <c r="B127" s="148" t="s">
        <v>1538</v>
      </c>
      <c r="C127" s="148" t="s">
        <v>1519</v>
      </c>
      <c r="D127" s="148" t="s">
        <v>1530</v>
      </c>
      <c r="E127" s="152">
        <v>40568</v>
      </c>
      <c r="F127" s="149">
        <v>11</v>
      </c>
      <c r="G127" s="149">
        <v>6413</v>
      </c>
    </row>
    <row r="128" spans="1:7" x14ac:dyDescent="0.25">
      <c r="A128" s="148" t="s">
        <v>1520</v>
      </c>
      <c r="B128" s="148" t="s">
        <v>1538</v>
      </c>
      <c r="C128" s="148" t="s">
        <v>1517</v>
      </c>
      <c r="D128" s="148" t="s">
        <v>1530</v>
      </c>
      <c r="E128" s="152">
        <v>40347</v>
      </c>
      <c r="F128" s="149">
        <v>11</v>
      </c>
      <c r="G128" s="149">
        <v>6413</v>
      </c>
    </row>
    <row r="129" spans="1:7" x14ac:dyDescent="0.25">
      <c r="A129" s="148" t="s">
        <v>1518</v>
      </c>
      <c r="B129" s="148" t="s">
        <v>1538</v>
      </c>
      <c r="C129" s="148" t="s">
        <v>1519</v>
      </c>
      <c r="D129" s="148" t="s">
        <v>1533</v>
      </c>
      <c r="E129" s="152">
        <v>40712</v>
      </c>
      <c r="F129" s="149">
        <v>12</v>
      </c>
      <c r="G129" s="149">
        <v>7788</v>
      </c>
    </row>
    <row r="130" spans="1:7" x14ac:dyDescent="0.25">
      <c r="A130" s="148" t="s">
        <v>1534</v>
      </c>
      <c r="B130" s="148" t="s">
        <v>1538</v>
      </c>
      <c r="C130" s="148" t="s">
        <v>1519</v>
      </c>
      <c r="D130" s="148" t="s">
        <v>1513</v>
      </c>
      <c r="E130" s="152">
        <v>40513</v>
      </c>
      <c r="F130" s="149">
        <v>12</v>
      </c>
      <c r="G130" s="149">
        <v>7968</v>
      </c>
    </row>
    <row r="131" spans="1:7" x14ac:dyDescent="0.25">
      <c r="A131" s="148" t="s">
        <v>1516</v>
      </c>
      <c r="B131" s="148" t="s">
        <v>1538</v>
      </c>
      <c r="C131" s="148" t="s">
        <v>1514</v>
      </c>
      <c r="D131" s="148" t="s">
        <v>1513</v>
      </c>
      <c r="E131" s="152">
        <v>40632</v>
      </c>
      <c r="F131" s="149">
        <v>12</v>
      </c>
      <c r="G131" s="149">
        <v>6888</v>
      </c>
    </row>
    <row r="132" spans="1:7" x14ac:dyDescent="0.25">
      <c r="A132" s="148" t="s">
        <v>1527</v>
      </c>
      <c r="B132" s="148" t="s">
        <v>1538</v>
      </c>
      <c r="C132" s="148" t="s">
        <v>1514</v>
      </c>
      <c r="D132" s="148" t="s">
        <v>1530</v>
      </c>
      <c r="E132" s="152">
        <v>40764</v>
      </c>
      <c r="F132" s="149">
        <v>12</v>
      </c>
      <c r="G132" s="149">
        <v>5628</v>
      </c>
    </row>
    <row r="133" spans="1:7" x14ac:dyDescent="0.25">
      <c r="A133" s="148" t="s">
        <v>1526</v>
      </c>
      <c r="B133" s="148" t="s">
        <v>1538</v>
      </c>
      <c r="C133" s="148" t="s">
        <v>1514</v>
      </c>
      <c r="D133" s="148" t="s">
        <v>1528</v>
      </c>
      <c r="E133" s="152">
        <v>40691</v>
      </c>
      <c r="F133" s="149">
        <v>12</v>
      </c>
      <c r="G133" s="149">
        <v>6744</v>
      </c>
    </row>
    <row r="134" spans="1:7" x14ac:dyDescent="0.25">
      <c r="A134" s="148" t="s">
        <v>1516</v>
      </c>
      <c r="B134" s="154" t="s">
        <v>1538</v>
      </c>
      <c r="C134" s="148" t="s">
        <v>1523</v>
      </c>
      <c r="D134" s="148" t="s">
        <v>1533</v>
      </c>
      <c r="E134" s="152">
        <v>40185</v>
      </c>
      <c r="F134" s="149">
        <v>13</v>
      </c>
      <c r="G134" s="153">
        <v>6461</v>
      </c>
    </row>
    <row r="135" spans="1:7" x14ac:dyDescent="0.25">
      <c r="A135" s="148" t="s">
        <v>1516</v>
      </c>
      <c r="B135" s="148" t="s">
        <v>1538</v>
      </c>
      <c r="C135" s="148" t="s">
        <v>1517</v>
      </c>
      <c r="D135" s="148" t="s">
        <v>1533</v>
      </c>
      <c r="E135" s="152">
        <v>40788</v>
      </c>
      <c r="F135" s="149">
        <v>13</v>
      </c>
      <c r="G135" s="149">
        <v>9997</v>
      </c>
    </row>
    <row r="136" spans="1:7" x14ac:dyDescent="0.25">
      <c r="A136" s="148" t="s">
        <v>1534</v>
      </c>
      <c r="B136" s="148" t="s">
        <v>1538</v>
      </c>
      <c r="C136" s="148" t="s">
        <v>1517</v>
      </c>
      <c r="D136" s="148" t="s">
        <v>1533</v>
      </c>
      <c r="E136" s="152">
        <v>40849</v>
      </c>
      <c r="F136" s="149">
        <v>13</v>
      </c>
      <c r="G136" s="149">
        <v>10153</v>
      </c>
    </row>
    <row r="137" spans="1:7" x14ac:dyDescent="0.25">
      <c r="A137" s="148" t="s">
        <v>1529</v>
      </c>
      <c r="B137" s="148" t="s">
        <v>1538</v>
      </c>
      <c r="C137" s="148" t="s">
        <v>1514</v>
      </c>
      <c r="D137" s="148" t="s">
        <v>1533</v>
      </c>
      <c r="E137" s="152">
        <v>40470</v>
      </c>
      <c r="F137" s="149">
        <v>13</v>
      </c>
      <c r="G137" s="149">
        <v>10881</v>
      </c>
    </row>
    <row r="138" spans="1:7" x14ac:dyDescent="0.25">
      <c r="A138" s="148" t="s">
        <v>1532</v>
      </c>
      <c r="B138" s="148" t="s">
        <v>1538</v>
      </c>
      <c r="C138" s="148" t="s">
        <v>1519</v>
      </c>
      <c r="D138" s="148" t="s">
        <v>1513</v>
      </c>
      <c r="E138" s="152">
        <v>40525</v>
      </c>
      <c r="F138" s="149">
        <v>13</v>
      </c>
      <c r="G138" s="149">
        <v>6357</v>
      </c>
    </row>
    <row r="139" spans="1:7" x14ac:dyDescent="0.25">
      <c r="A139" s="148" t="s">
        <v>1529</v>
      </c>
      <c r="B139" s="148" t="s">
        <v>1538</v>
      </c>
      <c r="C139" s="148" t="s">
        <v>1514</v>
      </c>
      <c r="D139" s="148" t="s">
        <v>1513</v>
      </c>
      <c r="E139" s="152">
        <v>40432</v>
      </c>
      <c r="F139" s="149">
        <v>13</v>
      </c>
      <c r="G139" s="149">
        <v>6071</v>
      </c>
    </row>
    <row r="140" spans="1:7" x14ac:dyDescent="0.25">
      <c r="A140" s="148" t="s">
        <v>1521</v>
      </c>
      <c r="B140" s="148" t="s">
        <v>1538</v>
      </c>
      <c r="C140" s="148" t="s">
        <v>1517</v>
      </c>
      <c r="D140" s="148" t="s">
        <v>1531</v>
      </c>
      <c r="E140" s="152">
        <v>40409</v>
      </c>
      <c r="F140" s="149">
        <v>13</v>
      </c>
      <c r="G140" s="149">
        <v>11531</v>
      </c>
    </row>
    <row r="141" spans="1:7" x14ac:dyDescent="0.25">
      <c r="A141" s="148" t="s">
        <v>1534</v>
      </c>
      <c r="B141" s="148" t="s">
        <v>1538</v>
      </c>
      <c r="C141" s="148" t="s">
        <v>1517</v>
      </c>
      <c r="D141" s="148" t="s">
        <v>1531</v>
      </c>
      <c r="E141" s="152">
        <v>40680</v>
      </c>
      <c r="F141" s="149">
        <v>13</v>
      </c>
      <c r="G141" s="149">
        <v>6370</v>
      </c>
    </row>
    <row r="142" spans="1:7" x14ac:dyDescent="0.25">
      <c r="A142" s="148" t="s">
        <v>1521</v>
      </c>
      <c r="B142" s="148" t="s">
        <v>1538</v>
      </c>
      <c r="C142" s="148" t="s">
        <v>1519</v>
      </c>
      <c r="D142" s="148" t="s">
        <v>1530</v>
      </c>
      <c r="E142" s="152">
        <v>40437</v>
      </c>
      <c r="F142" s="149">
        <v>13</v>
      </c>
      <c r="G142" s="149">
        <v>9581</v>
      </c>
    </row>
    <row r="143" spans="1:7" x14ac:dyDescent="0.25">
      <c r="A143" s="148" t="s">
        <v>1521</v>
      </c>
      <c r="B143" s="148" t="s">
        <v>1538</v>
      </c>
      <c r="C143" s="148" t="s">
        <v>1519</v>
      </c>
      <c r="D143" s="148" t="s">
        <v>1530</v>
      </c>
      <c r="E143" s="152">
        <v>40648</v>
      </c>
      <c r="F143" s="149">
        <v>13</v>
      </c>
      <c r="G143" s="149">
        <v>6097</v>
      </c>
    </row>
    <row r="144" spans="1:7" x14ac:dyDescent="0.25">
      <c r="A144" s="148" t="s">
        <v>1521</v>
      </c>
      <c r="B144" s="148" t="s">
        <v>1538</v>
      </c>
      <c r="C144" s="148" t="s">
        <v>1519</v>
      </c>
      <c r="D144" s="148" t="s">
        <v>1530</v>
      </c>
      <c r="E144" s="152">
        <v>40771</v>
      </c>
      <c r="F144" s="149">
        <v>13</v>
      </c>
      <c r="G144" s="149">
        <v>7345</v>
      </c>
    </row>
    <row r="145" spans="1:7" x14ac:dyDescent="0.25">
      <c r="A145" s="148" t="s">
        <v>1532</v>
      </c>
      <c r="B145" s="148" t="s">
        <v>1538</v>
      </c>
      <c r="C145" s="148" t="s">
        <v>1517</v>
      </c>
      <c r="D145" s="148" t="s">
        <v>1530</v>
      </c>
      <c r="E145" s="152">
        <v>40841</v>
      </c>
      <c r="F145" s="149">
        <v>13</v>
      </c>
      <c r="G145" s="149">
        <v>9698</v>
      </c>
    </row>
    <row r="146" spans="1:7" x14ac:dyDescent="0.25">
      <c r="A146" s="148" t="s">
        <v>1521</v>
      </c>
      <c r="B146" s="148" t="s">
        <v>1538</v>
      </c>
      <c r="C146" s="148" t="s">
        <v>1519</v>
      </c>
      <c r="D146" s="148" t="s">
        <v>1528</v>
      </c>
      <c r="E146" s="152">
        <v>40593</v>
      </c>
      <c r="F146" s="149">
        <v>13</v>
      </c>
      <c r="G146" s="149">
        <v>9659</v>
      </c>
    </row>
    <row r="147" spans="1:7" x14ac:dyDescent="0.25">
      <c r="A147" s="148" t="s">
        <v>1525</v>
      </c>
      <c r="B147" s="148" t="s">
        <v>1538</v>
      </c>
      <c r="C147" s="148" t="s">
        <v>1519</v>
      </c>
      <c r="D147" s="148" t="s">
        <v>1528</v>
      </c>
      <c r="E147" s="152">
        <v>40603</v>
      </c>
      <c r="F147" s="149">
        <v>13</v>
      </c>
      <c r="G147" s="149">
        <v>6331</v>
      </c>
    </row>
    <row r="148" spans="1:7" x14ac:dyDescent="0.25">
      <c r="A148" s="148" t="s">
        <v>1518</v>
      </c>
      <c r="B148" s="148" t="s">
        <v>1538</v>
      </c>
      <c r="C148" s="148" t="s">
        <v>1519</v>
      </c>
      <c r="D148" s="148" t="s">
        <v>1533</v>
      </c>
      <c r="E148" s="152">
        <v>40376</v>
      </c>
      <c r="F148" s="149">
        <v>14</v>
      </c>
      <c r="G148" s="149">
        <v>9408</v>
      </c>
    </row>
    <row r="149" spans="1:7" x14ac:dyDescent="0.25">
      <c r="A149" s="148" t="s">
        <v>1525</v>
      </c>
      <c r="B149" s="148" t="s">
        <v>1538</v>
      </c>
      <c r="C149" s="148" t="s">
        <v>1519</v>
      </c>
      <c r="D149" s="148" t="s">
        <v>1533</v>
      </c>
      <c r="E149" s="152">
        <v>40428</v>
      </c>
      <c r="F149" s="149">
        <v>14</v>
      </c>
      <c r="G149" s="149">
        <v>8120</v>
      </c>
    </row>
    <row r="150" spans="1:7" x14ac:dyDescent="0.25">
      <c r="A150" s="148" t="s">
        <v>1532</v>
      </c>
      <c r="B150" s="148" t="s">
        <v>1538</v>
      </c>
      <c r="C150" s="148" t="s">
        <v>1514</v>
      </c>
      <c r="D150" s="148" t="s">
        <v>1533</v>
      </c>
      <c r="E150" s="152">
        <v>40885</v>
      </c>
      <c r="F150" s="149">
        <v>14</v>
      </c>
      <c r="G150" s="149">
        <v>8540</v>
      </c>
    </row>
    <row r="151" spans="1:7" x14ac:dyDescent="0.25">
      <c r="A151" s="148" t="s">
        <v>1518</v>
      </c>
      <c r="B151" s="148" t="s">
        <v>1538</v>
      </c>
      <c r="C151" s="148" t="s">
        <v>1523</v>
      </c>
      <c r="D151" s="148" t="s">
        <v>1513</v>
      </c>
      <c r="E151" s="152">
        <v>40369</v>
      </c>
      <c r="F151" s="149">
        <v>14</v>
      </c>
      <c r="G151" s="149">
        <v>8862</v>
      </c>
    </row>
    <row r="152" spans="1:7" x14ac:dyDescent="0.25">
      <c r="A152" s="148" t="s">
        <v>1534</v>
      </c>
      <c r="B152" s="148" t="s">
        <v>1538</v>
      </c>
      <c r="C152" s="148" t="s">
        <v>1519</v>
      </c>
      <c r="D152" s="148" t="s">
        <v>1513</v>
      </c>
      <c r="E152" s="152">
        <v>40677</v>
      </c>
      <c r="F152" s="149">
        <v>14</v>
      </c>
      <c r="G152" s="149">
        <v>10808</v>
      </c>
    </row>
    <row r="153" spans="1:7" x14ac:dyDescent="0.25">
      <c r="A153" s="148" t="s">
        <v>1516</v>
      </c>
      <c r="B153" s="148" t="s">
        <v>1538</v>
      </c>
      <c r="C153" s="148" t="s">
        <v>1517</v>
      </c>
      <c r="D153" s="148" t="s">
        <v>1513</v>
      </c>
      <c r="E153" s="152">
        <v>40225</v>
      </c>
      <c r="F153" s="149">
        <v>14</v>
      </c>
      <c r="G153" s="149">
        <v>9618</v>
      </c>
    </row>
    <row r="154" spans="1:7" x14ac:dyDescent="0.25">
      <c r="A154" s="148" t="s">
        <v>1521</v>
      </c>
      <c r="B154" s="148" t="s">
        <v>1538</v>
      </c>
      <c r="C154" s="148" t="s">
        <v>1517</v>
      </c>
      <c r="D154" s="148" t="s">
        <v>1513</v>
      </c>
      <c r="E154" s="152">
        <v>40819</v>
      </c>
      <c r="F154" s="149">
        <v>14</v>
      </c>
      <c r="G154" s="149">
        <v>8008</v>
      </c>
    </row>
    <row r="155" spans="1:7" x14ac:dyDescent="0.25">
      <c r="A155" s="148" t="s">
        <v>1522</v>
      </c>
      <c r="B155" s="148" t="s">
        <v>1538</v>
      </c>
      <c r="C155" s="148" t="s">
        <v>1514</v>
      </c>
      <c r="D155" s="148" t="s">
        <v>1513</v>
      </c>
      <c r="E155" s="152">
        <v>40504</v>
      </c>
      <c r="F155" s="149">
        <v>14</v>
      </c>
      <c r="G155" s="149">
        <v>12110</v>
      </c>
    </row>
    <row r="156" spans="1:7" x14ac:dyDescent="0.25">
      <c r="A156" s="148" t="s">
        <v>1522</v>
      </c>
      <c r="B156" s="148" t="s">
        <v>1538</v>
      </c>
      <c r="C156" s="148" t="s">
        <v>1523</v>
      </c>
      <c r="D156" s="148" t="s">
        <v>1531</v>
      </c>
      <c r="E156" s="152">
        <v>40227</v>
      </c>
      <c r="F156" s="149">
        <v>14</v>
      </c>
      <c r="G156" s="153">
        <v>7658</v>
      </c>
    </row>
    <row r="157" spans="1:7" x14ac:dyDescent="0.25">
      <c r="A157" s="148" t="s">
        <v>1527</v>
      </c>
      <c r="B157" s="148" t="s">
        <v>1538</v>
      </c>
      <c r="C157" s="148" t="s">
        <v>1514</v>
      </c>
      <c r="D157" s="148" t="s">
        <v>1531</v>
      </c>
      <c r="E157" s="152">
        <v>40505</v>
      </c>
      <c r="F157" s="149">
        <v>14</v>
      </c>
      <c r="G157" s="149">
        <v>12264</v>
      </c>
    </row>
    <row r="158" spans="1:7" x14ac:dyDescent="0.25">
      <c r="A158" s="148" t="s">
        <v>1524</v>
      </c>
      <c r="B158" s="148" t="s">
        <v>1538</v>
      </c>
      <c r="C158" s="148" t="s">
        <v>1514</v>
      </c>
      <c r="D158" s="148" t="s">
        <v>1530</v>
      </c>
      <c r="E158" s="152">
        <v>40655</v>
      </c>
      <c r="F158" s="149">
        <v>14</v>
      </c>
      <c r="G158" s="149">
        <v>10780</v>
      </c>
    </row>
    <row r="159" spans="1:7" x14ac:dyDescent="0.25">
      <c r="A159" s="148" t="s">
        <v>1532</v>
      </c>
      <c r="B159" s="148" t="s">
        <v>1538</v>
      </c>
      <c r="C159" s="148" t="s">
        <v>1519</v>
      </c>
      <c r="D159" s="148" t="s">
        <v>1528</v>
      </c>
      <c r="E159" s="152">
        <v>40354</v>
      </c>
      <c r="F159" s="149">
        <v>14</v>
      </c>
      <c r="G159" s="149">
        <v>10276</v>
      </c>
    </row>
    <row r="160" spans="1:7" x14ac:dyDescent="0.25">
      <c r="A160" s="148" t="s">
        <v>1524</v>
      </c>
      <c r="B160" s="148" t="s">
        <v>1538</v>
      </c>
      <c r="C160" s="148" t="s">
        <v>1514</v>
      </c>
      <c r="D160" s="148" t="s">
        <v>1528</v>
      </c>
      <c r="E160" s="152">
        <v>40528</v>
      </c>
      <c r="F160" s="149">
        <v>14</v>
      </c>
      <c r="G160" s="149">
        <v>10486</v>
      </c>
    </row>
    <row r="161" spans="1:7" x14ac:dyDescent="0.25">
      <c r="A161" s="148" t="s">
        <v>1522</v>
      </c>
      <c r="B161" s="148" t="s">
        <v>1538</v>
      </c>
      <c r="C161" s="148" t="s">
        <v>1517</v>
      </c>
      <c r="D161" s="148" t="s">
        <v>1513</v>
      </c>
      <c r="E161" s="152">
        <v>40365</v>
      </c>
      <c r="F161" s="149">
        <v>15</v>
      </c>
      <c r="G161" s="149">
        <v>8910</v>
      </c>
    </row>
    <row r="162" spans="1:7" x14ac:dyDescent="0.25">
      <c r="A162" s="148" t="s">
        <v>1534</v>
      </c>
      <c r="B162" s="148" t="s">
        <v>1538</v>
      </c>
      <c r="C162" s="148" t="s">
        <v>1514</v>
      </c>
      <c r="D162" s="148" t="s">
        <v>1513</v>
      </c>
      <c r="E162" s="152">
        <v>40564</v>
      </c>
      <c r="F162" s="149">
        <v>15</v>
      </c>
      <c r="G162" s="149">
        <v>8790</v>
      </c>
    </row>
    <row r="163" spans="1:7" x14ac:dyDescent="0.25">
      <c r="A163" s="148" t="s">
        <v>1524</v>
      </c>
      <c r="B163" s="148" t="s">
        <v>1538</v>
      </c>
      <c r="C163" s="148" t="s">
        <v>1523</v>
      </c>
      <c r="D163" s="148" t="s">
        <v>1531</v>
      </c>
      <c r="E163" s="152">
        <v>40379</v>
      </c>
      <c r="F163" s="149">
        <v>15</v>
      </c>
      <c r="G163" s="149">
        <v>6615</v>
      </c>
    </row>
    <row r="164" spans="1:7" x14ac:dyDescent="0.25">
      <c r="A164" s="148" t="s">
        <v>1516</v>
      </c>
      <c r="B164" s="148" t="s">
        <v>1538</v>
      </c>
      <c r="C164" s="148" t="s">
        <v>1523</v>
      </c>
      <c r="D164" s="148" t="s">
        <v>1531</v>
      </c>
      <c r="E164" s="152">
        <v>40876</v>
      </c>
      <c r="F164" s="149">
        <v>15</v>
      </c>
      <c r="G164" s="149">
        <v>6855</v>
      </c>
    </row>
    <row r="165" spans="1:7" x14ac:dyDescent="0.25">
      <c r="A165" s="148" t="s">
        <v>1532</v>
      </c>
      <c r="B165" s="148" t="s">
        <v>1538</v>
      </c>
      <c r="C165" s="148" t="s">
        <v>1517</v>
      </c>
      <c r="D165" s="148" t="s">
        <v>1531</v>
      </c>
      <c r="E165" s="152">
        <v>40821</v>
      </c>
      <c r="F165" s="149">
        <v>15</v>
      </c>
      <c r="G165" s="149">
        <v>11700</v>
      </c>
    </row>
    <row r="166" spans="1:7" x14ac:dyDescent="0.25">
      <c r="A166" s="148" t="s">
        <v>1525</v>
      </c>
      <c r="B166" s="148" t="s">
        <v>1538</v>
      </c>
      <c r="C166" s="148" t="s">
        <v>1517</v>
      </c>
      <c r="D166" s="148" t="s">
        <v>1530</v>
      </c>
      <c r="E166" s="152">
        <v>40813</v>
      </c>
      <c r="F166" s="149">
        <v>15</v>
      </c>
      <c r="G166" s="149">
        <v>8280</v>
      </c>
    </row>
    <row r="167" spans="1:7" x14ac:dyDescent="0.25">
      <c r="A167" s="148" t="s">
        <v>1520</v>
      </c>
      <c r="B167" s="148" t="s">
        <v>1538</v>
      </c>
      <c r="C167" s="148" t="s">
        <v>1523</v>
      </c>
      <c r="D167" s="148" t="s">
        <v>1528</v>
      </c>
      <c r="E167" s="152">
        <v>40550</v>
      </c>
      <c r="F167" s="149">
        <v>15</v>
      </c>
      <c r="G167" s="149">
        <v>11340</v>
      </c>
    </row>
    <row r="168" spans="1:7" x14ac:dyDescent="0.25">
      <c r="A168" s="148" t="s">
        <v>1525</v>
      </c>
      <c r="B168" s="148" t="s">
        <v>1538</v>
      </c>
      <c r="C168" s="148" t="s">
        <v>1517</v>
      </c>
      <c r="D168" s="148" t="s">
        <v>1528</v>
      </c>
      <c r="E168" s="152">
        <v>40354</v>
      </c>
      <c r="F168" s="149">
        <v>15</v>
      </c>
      <c r="G168" s="149">
        <v>12285</v>
      </c>
    </row>
    <row r="169" spans="1:7" x14ac:dyDescent="0.25">
      <c r="A169" s="148" t="s">
        <v>1516</v>
      </c>
      <c r="B169" s="148" t="s">
        <v>1538</v>
      </c>
      <c r="C169" s="148" t="s">
        <v>1517</v>
      </c>
      <c r="D169" s="148" t="s">
        <v>1528</v>
      </c>
      <c r="E169" s="152">
        <v>40571</v>
      </c>
      <c r="F169" s="149">
        <v>15</v>
      </c>
      <c r="G169" s="149">
        <v>8055</v>
      </c>
    </row>
    <row r="170" spans="1:7" x14ac:dyDescent="0.25">
      <c r="A170" s="148" t="s">
        <v>1521</v>
      </c>
      <c r="B170" s="148" t="s">
        <v>1538</v>
      </c>
      <c r="C170" s="148" t="s">
        <v>1519</v>
      </c>
      <c r="D170" s="148" t="s">
        <v>1513</v>
      </c>
      <c r="E170" s="152">
        <v>40291</v>
      </c>
      <c r="F170" s="149">
        <v>16</v>
      </c>
      <c r="G170" s="149">
        <v>12512</v>
      </c>
    </row>
    <row r="171" spans="1:7" x14ac:dyDescent="0.25">
      <c r="A171" s="148" t="s">
        <v>1527</v>
      </c>
      <c r="B171" s="148" t="s">
        <v>1538</v>
      </c>
      <c r="C171" s="148" t="s">
        <v>1519</v>
      </c>
      <c r="D171" s="148" t="s">
        <v>1513</v>
      </c>
      <c r="E171" s="152">
        <v>40767</v>
      </c>
      <c r="F171" s="149">
        <v>16</v>
      </c>
      <c r="G171" s="149">
        <v>9360</v>
      </c>
    </row>
    <row r="172" spans="1:7" x14ac:dyDescent="0.25">
      <c r="A172" s="148" t="s">
        <v>1526</v>
      </c>
      <c r="B172" s="148" t="s">
        <v>1538</v>
      </c>
      <c r="C172" s="148" t="s">
        <v>1514</v>
      </c>
      <c r="D172" s="148" t="s">
        <v>1513</v>
      </c>
      <c r="E172" s="152">
        <v>40716</v>
      </c>
      <c r="F172" s="149">
        <v>16</v>
      </c>
      <c r="G172" s="149">
        <v>14208</v>
      </c>
    </row>
    <row r="173" spans="1:7" x14ac:dyDescent="0.25">
      <c r="A173" s="148" t="s">
        <v>1516</v>
      </c>
      <c r="B173" s="148" t="s">
        <v>1538</v>
      </c>
      <c r="C173" s="148" t="s">
        <v>1514</v>
      </c>
      <c r="D173" s="148" t="s">
        <v>1513</v>
      </c>
      <c r="E173" s="152">
        <v>40229</v>
      </c>
      <c r="F173" s="149">
        <v>17</v>
      </c>
      <c r="G173" s="149">
        <v>10098</v>
      </c>
    </row>
    <row r="174" spans="1:7" x14ac:dyDescent="0.25">
      <c r="A174" s="148" t="s">
        <v>1527</v>
      </c>
      <c r="B174" s="148" t="s">
        <v>1538</v>
      </c>
      <c r="C174" s="148" t="s">
        <v>1514</v>
      </c>
      <c r="D174" s="148" t="s">
        <v>1513</v>
      </c>
      <c r="E174" s="152">
        <v>40716</v>
      </c>
      <c r="F174" s="149">
        <v>17</v>
      </c>
      <c r="G174" s="149">
        <v>9112</v>
      </c>
    </row>
    <row r="175" spans="1:7" x14ac:dyDescent="0.25">
      <c r="A175" s="148" t="s">
        <v>1516</v>
      </c>
      <c r="B175" s="148" t="s">
        <v>1538</v>
      </c>
      <c r="C175" s="148" t="s">
        <v>1519</v>
      </c>
      <c r="D175" s="148" t="s">
        <v>1513</v>
      </c>
      <c r="E175" s="152">
        <v>40548</v>
      </c>
      <c r="F175" s="149">
        <v>18</v>
      </c>
      <c r="G175" s="149">
        <v>7380</v>
      </c>
    </row>
    <row r="176" spans="1:7" x14ac:dyDescent="0.25">
      <c r="A176" s="148" t="s">
        <v>1522</v>
      </c>
      <c r="B176" s="148" t="s">
        <v>1538</v>
      </c>
      <c r="C176" s="148" t="s">
        <v>1514</v>
      </c>
      <c r="D176" s="148" t="s">
        <v>1513</v>
      </c>
      <c r="E176" s="152">
        <v>40226</v>
      </c>
      <c r="F176" s="149">
        <v>18</v>
      </c>
      <c r="G176" s="149">
        <v>12438</v>
      </c>
    </row>
    <row r="177" spans="1:7" x14ac:dyDescent="0.25">
      <c r="A177" s="148" t="s">
        <v>1529</v>
      </c>
      <c r="B177" s="148" t="s">
        <v>1538</v>
      </c>
      <c r="C177" s="148" t="s">
        <v>1514</v>
      </c>
      <c r="D177" s="148" t="s">
        <v>1513</v>
      </c>
      <c r="E177" s="152">
        <v>40871</v>
      </c>
      <c r="F177" s="149">
        <v>18</v>
      </c>
      <c r="G177" s="149">
        <v>8046</v>
      </c>
    </row>
    <row r="178" spans="1:7" x14ac:dyDescent="0.25">
      <c r="A178" s="148" t="s">
        <v>1527</v>
      </c>
      <c r="B178" s="148" t="s">
        <v>1538</v>
      </c>
      <c r="C178" s="148" t="s">
        <v>1517</v>
      </c>
      <c r="D178" s="148" t="s">
        <v>1513</v>
      </c>
      <c r="E178" s="152">
        <v>40345</v>
      </c>
      <c r="F178" s="149">
        <v>19</v>
      </c>
      <c r="G178" s="149">
        <v>8189</v>
      </c>
    </row>
    <row r="179" spans="1:7" x14ac:dyDescent="0.25">
      <c r="A179" s="148" t="s">
        <v>1518</v>
      </c>
      <c r="B179" s="148" t="s">
        <v>1538</v>
      </c>
      <c r="C179" s="148" t="s">
        <v>1517</v>
      </c>
      <c r="D179" s="148" t="s">
        <v>1513</v>
      </c>
      <c r="E179" s="152">
        <v>40351</v>
      </c>
      <c r="F179" s="149">
        <v>19</v>
      </c>
      <c r="G179" s="149">
        <v>13224</v>
      </c>
    </row>
    <row r="180" spans="1:7" x14ac:dyDescent="0.25">
      <c r="A180" s="148" t="s">
        <v>1520</v>
      </c>
      <c r="B180" s="148" t="s">
        <v>1538</v>
      </c>
      <c r="C180" s="148" t="s">
        <v>1517</v>
      </c>
      <c r="D180" s="148" t="s">
        <v>1513</v>
      </c>
      <c r="E180" s="152">
        <v>40715</v>
      </c>
      <c r="F180" s="149">
        <v>19</v>
      </c>
      <c r="G180" s="149">
        <v>9063</v>
      </c>
    </row>
    <row r="181" spans="1:7" x14ac:dyDescent="0.25">
      <c r="A181" s="148" t="s">
        <v>1529</v>
      </c>
      <c r="B181" s="148" t="s">
        <v>1538</v>
      </c>
      <c r="C181" s="148" t="s">
        <v>1517</v>
      </c>
      <c r="D181" s="148" t="s">
        <v>1513</v>
      </c>
      <c r="E181" s="152">
        <v>40807</v>
      </c>
      <c r="F181" s="149">
        <v>19</v>
      </c>
      <c r="G181" s="149">
        <v>14820</v>
      </c>
    </row>
    <row r="182" spans="1:7" x14ac:dyDescent="0.25">
      <c r="A182" s="148" t="s">
        <v>1534</v>
      </c>
      <c r="B182" s="148" t="s">
        <v>1538</v>
      </c>
      <c r="C182" s="148" t="s">
        <v>1514</v>
      </c>
      <c r="D182" s="148" t="s">
        <v>1513</v>
      </c>
      <c r="E182" s="152">
        <v>40863</v>
      </c>
      <c r="F182" s="149">
        <v>19</v>
      </c>
      <c r="G182" s="149">
        <v>15409</v>
      </c>
    </row>
    <row r="183" spans="1:7" x14ac:dyDescent="0.25">
      <c r="A183" s="148" t="s">
        <v>1529</v>
      </c>
      <c r="B183" s="148" t="s">
        <v>1538</v>
      </c>
      <c r="C183" s="148" t="s">
        <v>1517</v>
      </c>
      <c r="D183" s="148" t="s">
        <v>1513</v>
      </c>
      <c r="E183" s="152">
        <v>40687</v>
      </c>
      <c r="F183" s="149">
        <v>20</v>
      </c>
      <c r="G183" s="149">
        <v>16960</v>
      </c>
    </row>
    <row r="184" spans="1:7" x14ac:dyDescent="0.25">
      <c r="A184" s="148" t="s">
        <v>1534</v>
      </c>
      <c r="B184" s="148" t="s">
        <v>1538</v>
      </c>
      <c r="C184" s="148" t="s">
        <v>1514</v>
      </c>
      <c r="D184" s="148" t="s">
        <v>1513</v>
      </c>
      <c r="E184" s="152">
        <v>40534</v>
      </c>
      <c r="F184" s="149">
        <v>20</v>
      </c>
      <c r="G184" s="149">
        <v>15820</v>
      </c>
    </row>
    <row r="185" spans="1:7" x14ac:dyDescent="0.25">
      <c r="A185" s="148" t="s">
        <v>1524</v>
      </c>
      <c r="B185" s="148" t="s">
        <v>1538</v>
      </c>
      <c r="C185" s="148" t="s">
        <v>1514</v>
      </c>
      <c r="D185" s="148" t="s">
        <v>1513</v>
      </c>
      <c r="E185" s="152">
        <v>40663</v>
      </c>
      <c r="F185" s="149">
        <v>20</v>
      </c>
      <c r="G185" s="149">
        <v>15300</v>
      </c>
    </row>
    <row r="186" spans="1:7" x14ac:dyDescent="0.25">
      <c r="A186" s="148" t="s">
        <v>1524</v>
      </c>
      <c r="B186" s="148" t="s">
        <v>1537</v>
      </c>
      <c r="C186" s="148" t="s">
        <v>1523</v>
      </c>
      <c r="D186" s="148" t="s">
        <v>1531</v>
      </c>
      <c r="E186" s="152">
        <v>40710</v>
      </c>
      <c r="F186" s="149">
        <v>1</v>
      </c>
      <c r="G186" s="149">
        <v>816</v>
      </c>
    </row>
    <row r="187" spans="1:7" x14ac:dyDescent="0.25">
      <c r="A187" s="148" t="s">
        <v>1526</v>
      </c>
      <c r="B187" s="148" t="s">
        <v>1537</v>
      </c>
      <c r="C187" s="148" t="s">
        <v>1514</v>
      </c>
      <c r="D187" s="148" t="s">
        <v>1531</v>
      </c>
      <c r="E187" s="152">
        <v>40774</v>
      </c>
      <c r="F187" s="149">
        <v>1</v>
      </c>
      <c r="G187" s="149">
        <v>669</v>
      </c>
    </row>
    <row r="188" spans="1:7" x14ac:dyDescent="0.25">
      <c r="A188" s="148" t="s">
        <v>1520</v>
      </c>
      <c r="B188" s="148" t="s">
        <v>1537</v>
      </c>
      <c r="C188" s="148" t="s">
        <v>1519</v>
      </c>
      <c r="D188" s="148" t="s">
        <v>1530</v>
      </c>
      <c r="E188" s="152">
        <v>40665</v>
      </c>
      <c r="F188" s="149">
        <v>1</v>
      </c>
      <c r="G188" s="149">
        <v>352</v>
      </c>
    </row>
    <row r="189" spans="1:7" x14ac:dyDescent="0.25">
      <c r="A189" s="148" t="s">
        <v>1532</v>
      </c>
      <c r="B189" s="148" t="s">
        <v>1537</v>
      </c>
      <c r="C189" s="148" t="s">
        <v>1519</v>
      </c>
      <c r="D189" s="148" t="s">
        <v>1530</v>
      </c>
      <c r="E189" s="152">
        <v>40837</v>
      </c>
      <c r="F189" s="149">
        <v>1</v>
      </c>
      <c r="G189" s="149">
        <v>796</v>
      </c>
    </row>
    <row r="190" spans="1:7" x14ac:dyDescent="0.25">
      <c r="A190" s="148" t="s">
        <v>1525</v>
      </c>
      <c r="B190" s="148" t="s">
        <v>1537</v>
      </c>
      <c r="C190" s="148" t="s">
        <v>1517</v>
      </c>
      <c r="D190" s="148" t="s">
        <v>1530</v>
      </c>
      <c r="E190" s="152">
        <v>40522</v>
      </c>
      <c r="F190" s="149">
        <v>1</v>
      </c>
      <c r="G190" s="149">
        <v>444</v>
      </c>
    </row>
    <row r="191" spans="1:7" x14ac:dyDescent="0.25">
      <c r="A191" s="148" t="s">
        <v>1516</v>
      </c>
      <c r="B191" s="148" t="s">
        <v>1537</v>
      </c>
      <c r="C191" s="148" t="s">
        <v>1514</v>
      </c>
      <c r="D191" s="148" t="s">
        <v>1530</v>
      </c>
      <c r="E191" s="152">
        <v>40215</v>
      </c>
      <c r="F191" s="149">
        <v>1</v>
      </c>
      <c r="G191" s="153">
        <v>598</v>
      </c>
    </row>
    <row r="192" spans="1:7" x14ac:dyDescent="0.25">
      <c r="A192" s="148" t="s">
        <v>1522</v>
      </c>
      <c r="B192" s="148" t="s">
        <v>1537</v>
      </c>
      <c r="C192" s="148" t="s">
        <v>1514</v>
      </c>
      <c r="D192" s="148" t="s">
        <v>1530</v>
      </c>
      <c r="E192" s="152">
        <v>40424</v>
      </c>
      <c r="F192" s="149">
        <v>1</v>
      </c>
      <c r="G192" s="149">
        <v>766</v>
      </c>
    </row>
    <row r="193" spans="1:7" x14ac:dyDescent="0.25">
      <c r="A193" s="148" t="s">
        <v>1516</v>
      </c>
      <c r="B193" s="148" t="s">
        <v>1537</v>
      </c>
      <c r="C193" s="148" t="s">
        <v>1523</v>
      </c>
      <c r="D193" s="148" t="s">
        <v>1528</v>
      </c>
      <c r="E193" s="152">
        <v>40323</v>
      </c>
      <c r="F193" s="149">
        <v>1</v>
      </c>
      <c r="G193" s="149">
        <v>824</v>
      </c>
    </row>
    <row r="194" spans="1:7" x14ac:dyDescent="0.25">
      <c r="A194" s="148" t="s">
        <v>1520</v>
      </c>
      <c r="B194" s="148" t="s">
        <v>1537</v>
      </c>
      <c r="C194" s="148" t="s">
        <v>1519</v>
      </c>
      <c r="D194" s="148" t="s">
        <v>1533</v>
      </c>
      <c r="E194" s="152">
        <v>40697</v>
      </c>
      <c r="F194" s="149">
        <v>2</v>
      </c>
      <c r="G194" s="149">
        <v>1110</v>
      </c>
    </row>
    <row r="195" spans="1:7" x14ac:dyDescent="0.25">
      <c r="A195" s="148" t="s">
        <v>1524</v>
      </c>
      <c r="B195" s="148" t="s">
        <v>1537</v>
      </c>
      <c r="C195" s="148" t="s">
        <v>1523</v>
      </c>
      <c r="D195" s="148" t="s">
        <v>1531</v>
      </c>
      <c r="E195" s="152">
        <v>40610</v>
      </c>
      <c r="F195" s="149">
        <v>2</v>
      </c>
      <c r="G195" s="149">
        <v>1158</v>
      </c>
    </row>
    <row r="196" spans="1:7" x14ac:dyDescent="0.25">
      <c r="A196" s="148" t="s">
        <v>1532</v>
      </c>
      <c r="B196" s="148" t="s">
        <v>1537</v>
      </c>
      <c r="C196" s="148" t="s">
        <v>1519</v>
      </c>
      <c r="D196" s="148" t="s">
        <v>1531</v>
      </c>
      <c r="E196" s="152">
        <v>40670</v>
      </c>
      <c r="F196" s="149">
        <v>2</v>
      </c>
      <c r="G196" s="149">
        <v>708</v>
      </c>
    </row>
    <row r="197" spans="1:7" x14ac:dyDescent="0.25">
      <c r="A197" s="148" t="s">
        <v>1526</v>
      </c>
      <c r="B197" s="148" t="s">
        <v>1537</v>
      </c>
      <c r="C197" s="148" t="s">
        <v>1517</v>
      </c>
      <c r="D197" s="148" t="s">
        <v>1531</v>
      </c>
      <c r="E197" s="152">
        <v>40247</v>
      </c>
      <c r="F197" s="149">
        <v>2</v>
      </c>
      <c r="G197" s="153">
        <v>1384</v>
      </c>
    </row>
    <row r="198" spans="1:7" x14ac:dyDescent="0.25">
      <c r="A198" s="148" t="s">
        <v>1529</v>
      </c>
      <c r="B198" s="148" t="s">
        <v>1537</v>
      </c>
      <c r="C198" s="148" t="s">
        <v>1514</v>
      </c>
      <c r="D198" s="148" t="s">
        <v>1531</v>
      </c>
      <c r="E198" s="152">
        <v>40375</v>
      </c>
      <c r="F198" s="149">
        <v>2</v>
      </c>
      <c r="G198" s="149">
        <v>974</v>
      </c>
    </row>
    <row r="199" spans="1:7" x14ac:dyDescent="0.25">
      <c r="A199" s="148" t="s">
        <v>1518</v>
      </c>
      <c r="B199" s="148" t="s">
        <v>1537</v>
      </c>
      <c r="C199" s="148" t="s">
        <v>1514</v>
      </c>
      <c r="D199" s="148" t="s">
        <v>1531</v>
      </c>
      <c r="E199" s="152">
        <v>40526</v>
      </c>
      <c r="F199" s="149">
        <v>2</v>
      </c>
      <c r="G199" s="149">
        <v>1540</v>
      </c>
    </row>
    <row r="200" spans="1:7" x14ac:dyDescent="0.25">
      <c r="A200" s="148" t="s">
        <v>1532</v>
      </c>
      <c r="B200" s="148" t="s">
        <v>1537</v>
      </c>
      <c r="C200" s="148" t="s">
        <v>1523</v>
      </c>
      <c r="D200" s="148" t="s">
        <v>1530</v>
      </c>
      <c r="E200" s="152">
        <v>40228</v>
      </c>
      <c r="F200" s="149">
        <v>2</v>
      </c>
      <c r="G200" s="153">
        <v>1320</v>
      </c>
    </row>
    <row r="201" spans="1:7" x14ac:dyDescent="0.25">
      <c r="A201" s="148" t="s">
        <v>1527</v>
      </c>
      <c r="B201" s="148" t="s">
        <v>1537</v>
      </c>
      <c r="C201" s="148" t="s">
        <v>1523</v>
      </c>
      <c r="D201" s="148" t="s">
        <v>1530</v>
      </c>
      <c r="E201" s="152">
        <v>40721</v>
      </c>
      <c r="F201" s="149">
        <v>2</v>
      </c>
      <c r="G201" s="149">
        <v>792</v>
      </c>
    </row>
    <row r="202" spans="1:7" x14ac:dyDescent="0.25">
      <c r="A202" s="148" t="s">
        <v>1518</v>
      </c>
      <c r="B202" s="148" t="s">
        <v>1537</v>
      </c>
      <c r="C202" s="148" t="s">
        <v>1519</v>
      </c>
      <c r="D202" s="148" t="s">
        <v>1530</v>
      </c>
      <c r="E202" s="152">
        <v>40476</v>
      </c>
      <c r="F202" s="149">
        <v>2</v>
      </c>
      <c r="G202" s="149">
        <v>1474</v>
      </c>
    </row>
    <row r="203" spans="1:7" x14ac:dyDescent="0.25">
      <c r="A203" s="148" t="s">
        <v>1520</v>
      </c>
      <c r="B203" s="148" t="s">
        <v>1537</v>
      </c>
      <c r="C203" s="148" t="s">
        <v>1519</v>
      </c>
      <c r="D203" s="148" t="s">
        <v>1530</v>
      </c>
      <c r="E203" s="152">
        <v>40738</v>
      </c>
      <c r="F203" s="149">
        <v>2</v>
      </c>
      <c r="G203" s="149">
        <v>848</v>
      </c>
    </row>
    <row r="204" spans="1:7" x14ac:dyDescent="0.25">
      <c r="A204" s="148" t="s">
        <v>1520</v>
      </c>
      <c r="B204" s="148" t="s">
        <v>1537</v>
      </c>
      <c r="C204" s="148" t="s">
        <v>1517</v>
      </c>
      <c r="D204" s="148" t="s">
        <v>1530</v>
      </c>
      <c r="E204" s="152">
        <v>40330</v>
      </c>
      <c r="F204" s="149">
        <v>2</v>
      </c>
      <c r="G204" s="149">
        <v>1090</v>
      </c>
    </row>
    <row r="205" spans="1:7" x14ac:dyDescent="0.25">
      <c r="A205" s="148" t="s">
        <v>1527</v>
      </c>
      <c r="B205" s="148" t="s">
        <v>1537</v>
      </c>
      <c r="C205" s="148" t="s">
        <v>1523</v>
      </c>
      <c r="D205" s="148" t="s">
        <v>1528</v>
      </c>
      <c r="E205" s="152">
        <v>40373</v>
      </c>
      <c r="F205" s="149">
        <v>2</v>
      </c>
      <c r="G205" s="149">
        <v>1286</v>
      </c>
    </row>
    <row r="206" spans="1:7" x14ac:dyDescent="0.25">
      <c r="A206" s="148" t="s">
        <v>1522</v>
      </c>
      <c r="B206" s="148" t="s">
        <v>1537</v>
      </c>
      <c r="C206" s="148" t="s">
        <v>1517</v>
      </c>
      <c r="D206" s="148" t="s">
        <v>1528</v>
      </c>
      <c r="E206" s="152">
        <v>40557</v>
      </c>
      <c r="F206" s="149">
        <v>2</v>
      </c>
      <c r="G206" s="149">
        <v>1146</v>
      </c>
    </row>
    <row r="207" spans="1:7" x14ac:dyDescent="0.25">
      <c r="A207" s="148" t="s">
        <v>1518</v>
      </c>
      <c r="B207" s="148" t="s">
        <v>1537</v>
      </c>
      <c r="C207" s="148" t="s">
        <v>1523</v>
      </c>
      <c r="D207" s="148" t="s">
        <v>1533</v>
      </c>
      <c r="E207" s="152">
        <v>40430</v>
      </c>
      <c r="F207" s="149">
        <v>3</v>
      </c>
      <c r="G207" s="149">
        <v>1557</v>
      </c>
    </row>
    <row r="208" spans="1:7" x14ac:dyDescent="0.25">
      <c r="A208" s="148" t="s">
        <v>1527</v>
      </c>
      <c r="B208" s="148" t="s">
        <v>1537</v>
      </c>
      <c r="C208" s="148" t="s">
        <v>1523</v>
      </c>
      <c r="D208" s="148" t="s">
        <v>1531</v>
      </c>
      <c r="E208" s="152">
        <v>40536</v>
      </c>
      <c r="F208" s="149">
        <v>3</v>
      </c>
      <c r="G208" s="149">
        <v>2295</v>
      </c>
    </row>
    <row r="209" spans="1:7" x14ac:dyDescent="0.25">
      <c r="A209" s="148" t="s">
        <v>1522</v>
      </c>
      <c r="B209" s="148" t="s">
        <v>1537</v>
      </c>
      <c r="C209" s="148" t="s">
        <v>1517</v>
      </c>
      <c r="D209" s="148" t="s">
        <v>1530</v>
      </c>
      <c r="E209" s="152">
        <v>40273</v>
      </c>
      <c r="F209" s="149">
        <v>3</v>
      </c>
      <c r="G209" s="149">
        <v>1254</v>
      </c>
    </row>
    <row r="210" spans="1:7" x14ac:dyDescent="0.25">
      <c r="A210" s="148" t="s">
        <v>1527</v>
      </c>
      <c r="B210" s="148" t="s">
        <v>1537</v>
      </c>
      <c r="C210" s="148" t="s">
        <v>1517</v>
      </c>
      <c r="D210" s="148" t="s">
        <v>1530</v>
      </c>
      <c r="E210" s="152">
        <v>40768</v>
      </c>
      <c r="F210" s="149">
        <v>3</v>
      </c>
      <c r="G210" s="149">
        <v>1401</v>
      </c>
    </row>
    <row r="211" spans="1:7" x14ac:dyDescent="0.25">
      <c r="A211" s="148" t="s">
        <v>1516</v>
      </c>
      <c r="B211" s="148" t="s">
        <v>1537</v>
      </c>
      <c r="C211" s="148" t="s">
        <v>1514</v>
      </c>
      <c r="D211" s="148" t="s">
        <v>1530</v>
      </c>
      <c r="E211" s="152">
        <v>40215</v>
      </c>
      <c r="F211" s="149">
        <v>3</v>
      </c>
      <c r="G211" s="153">
        <v>2448</v>
      </c>
    </row>
    <row r="212" spans="1:7" x14ac:dyDescent="0.25">
      <c r="A212" s="148" t="s">
        <v>1516</v>
      </c>
      <c r="B212" s="148" t="s">
        <v>1537</v>
      </c>
      <c r="C212" s="148" t="s">
        <v>1514</v>
      </c>
      <c r="D212" s="148" t="s">
        <v>1530</v>
      </c>
      <c r="E212" s="152">
        <v>40813</v>
      </c>
      <c r="F212" s="149">
        <v>3</v>
      </c>
      <c r="G212" s="149">
        <v>1995</v>
      </c>
    </row>
    <row r="213" spans="1:7" x14ac:dyDescent="0.25">
      <c r="A213" s="148" t="s">
        <v>1524</v>
      </c>
      <c r="B213" s="148" t="s">
        <v>1537</v>
      </c>
      <c r="C213" s="148" t="s">
        <v>1519</v>
      </c>
      <c r="D213" s="148" t="s">
        <v>1528</v>
      </c>
      <c r="E213" s="152">
        <v>40596</v>
      </c>
      <c r="F213" s="149">
        <v>3</v>
      </c>
      <c r="G213" s="149">
        <v>1560</v>
      </c>
    </row>
    <row r="214" spans="1:7" x14ac:dyDescent="0.25">
      <c r="A214" s="148" t="s">
        <v>1526</v>
      </c>
      <c r="B214" s="148" t="s">
        <v>1537</v>
      </c>
      <c r="C214" s="148" t="s">
        <v>1517</v>
      </c>
      <c r="D214" s="148" t="s">
        <v>1533</v>
      </c>
      <c r="E214" s="152">
        <v>40826</v>
      </c>
      <c r="F214" s="149">
        <v>4</v>
      </c>
      <c r="G214" s="149">
        <v>2564</v>
      </c>
    </row>
    <row r="215" spans="1:7" x14ac:dyDescent="0.25">
      <c r="A215" s="148" t="s">
        <v>1520</v>
      </c>
      <c r="B215" s="148" t="s">
        <v>1537</v>
      </c>
      <c r="C215" s="148" t="s">
        <v>1523</v>
      </c>
      <c r="D215" s="148" t="s">
        <v>1531</v>
      </c>
      <c r="E215" s="152">
        <v>40632</v>
      </c>
      <c r="F215" s="149">
        <v>4</v>
      </c>
      <c r="G215" s="149">
        <v>2392</v>
      </c>
    </row>
    <row r="216" spans="1:7" x14ac:dyDescent="0.25">
      <c r="A216" s="148" t="s">
        <v>1520</v>
      </c>
      <c r="B216" s="148" t="s">
        <v>1537</v>
      </c>
      <c r="C216" s="148" t="s">
        <v>1517</v>
      </c>
      <c r="D216" s="148" t="s">
        <v>1531</v>
      </c>
      <c r="E216" s="152">
        <v>40542</v>
      </c>
      <c r="F216" s="149">
        <v>4</v>
      </c>
      <c r="G216" s="149">
        <v>2836</v>
      </c>
    </row>
    <row r="217" spans="1:7" x14ac:dyDescent="0.25">
      <c r="A217" s="148" t="s">
        <v>1527</v>
      </c>
      <c r="B217" s="148" t="s">
        <v>1537</v>
      </c>
      <c r="C217" s="148" t="s">
        <v>1514</v>
      </c>
      <c r="D217" s="148" t="s">
        <v>1531</v>
      </c>
      <c r="E217" s="152">
        <v>40627</v>
      </c>
      <c r="F217" s="149">
        <v>4</v>
      </c>
      <c r="G217" s="149">
        <v>3544</v>
      </c>
    </row>
    <row r="218" spans="1:7" x14ac:dyDescent="0.25">
      <c r="A218" s="148" t="s">
        <v>1527</v>
      </c>
      <c r="B218" s="148" t="s">
        <v>1537</v>
      </c>
      <c r="C218" s="148" t="s">
        <v>1517</v>
      </c>
      <c r="D218" s="148" t="s">
        <v>1530</v>
      </c>
      <c r="E218" s="152">
        <v>40639</v>
      </c>
      <c r="F218" s="149">
        <v>4</v>
      </c>
      <c r="G218" s="149">
        <v>1968</v>
      </c>
    </row>
    <row r="219" spans="1:7" x14ac:dyDescent="0.25">
      <c r="A219" s="148" t="s">
        <v>1534</v>
      </c>
      <c r="B219" s="148" t="s">
        <v>1537</v>
      </c>
      <c r="C219" s="148" t="s">
        <v>1517</v>
      </c>
      <c r="D219" s="148" t="s">
        <v>1530</v>
      </c>
      <c r="E219" s="152">
        <v>40642</v>
      </c>
      <c r="F219" s="149">
        <v>4</v>
      </c>
      <c r="G219" s="149">
        <v>1916</v>
      </c>
    </row>
    <row r="220" spans="1:7" x14ac:dyDescent="0.25">
      <c r="A220" s="148" t="s">
        <v>1525</v>
      </c>
      <c r="B220" s="148" t="s">
        <v>1537</v>
      </c>
      <c r="C220" s="148" t="s">
        <v>1523</v>
      </c>
      <c r="D220" s="148" t="s">
        <v>1528</v>
      </c>
      <c r="E220" s="152">
        <v>40354</v>
      </c>
      <c r="F220" s="149">
        <v>4</v>
      </c>
      <c r="G220" s="149">
        <v>2180</v>
      </c>
    </row>
    <row r="221" spans="1:7" x14ac:dyDescent="0.25">
      <c r="A221" s="148" t="s">
        <v>1527</v>
      </c>
      <c r="B221" s="148" t="s">
        <v>1537</v>
      </c>
      <c r="C221" s="148" t="s">
        <v>1523</v>
      </c>
      <c r="D221" s="148" t="s">
        <v>1528</v>
      </c>
      <c r="E221" s="152">
        <v>40491</v>
      </c>
      <c r="F221" s="149">
        <v>4</v>
      </c>
      <c r="G221" s="149">
        <v>1448</v>
      </c>
    </row>
    <row r="222" spans="1:7" x14ac:dyDescent="0.25">
      <c r="A222" s="148" t="s">
        <v>1529</v>
      </c>
      <c r="B222" s="148" t="s">
        <v>1537</v>
      </c>
      <c r="C222" s="148" t="s">
        <v>1519</v>
      </c>
      <c r="D222" s="148" t="s">
        <v>1528</v>
      </c>
      <c r="E222" s="152">
        <v>40614</v>
      </c>
      <c r="F222" s="149">
        <v>4</v>
      </c>
      <c r="G222" s="149">
        <v>1932</v>
      </c>
    </row>
    <row r="223" spans="1:7" x14ac:dyDescent="0.25">
      <c r="A223" s="148" t="s">
        <v>1532</v>
      </c>
      <c r="B223" s="148" t="s">
        <v>1537</v>
      </c>
      <c r="C223" s="148" t="s">
        <v>1514</v>
      </c>
      <c r="D223" s="148" t="s">
        <v>1531</v>
      </c>
      <c r="E223" s="152">
        <v>40473</v>
      </c>
      <c r="F223" s="149">
        <v>5</v>
      </c>
      <c r="G223" s="149">
        <v>2265</v>
      </c>
    </row>
    <row r="224" spans="1:7" x14ac:dyDescent="0.25">
      <c r="A224" s="148" t="s">
        <v>1534</v>
      </c>
      <c r="B224" s="148" t="s">
        <v>1537</v>
      </c>
      <c r="C224" s="148" t="s">
        <v>1514</v>
      </c>
      <c r="D224" s="148" t="s">
        <v>1531</v>
      </c>
      <c r="E224" s="152">
        <v>40687</v>
      </c>
      <c r="F224" s="149">
        <v>5</v>
      </c>
      <c r="G224" s="149">
        <v>3690</v>
      </c>
    </row>
    <row r="225" spans="1:7" x14ac:dyDescent="0.25">
      <c r="A225" s="148" t="s">
        <v>1518</v>
      </c>
      <c r="B225" s="148" t="s">
        <v>1537</v>
      </c>
      <c r="C225" s="148" t="s">
        <v>1519</v>
      </c>
      <c r="D225" s="148" t="s">
        <v>1530</v>
      </c>
      <c r="E225" s="152">
        <v>40313</v>
      </c>
      <c r="F225" s="149">
        <v>5</v>
      </c>
      <c r="G225" s="149">
        <v>3020</v>
      </c>
    </row>
    <row r="226" spans="1:7" x14ac:dyDescent="0.25">
      <c r="A226" s="148" t="s">
        <v>1518</v>
      </c>
      <c r="B226" s="148" t="s">
        <v>1537</v>
      </c>
      <c r="C226" s="148" t="s">
        <v>1517</v>
      </c>
      <c r="D226" s="148" t="s">
        <v>1530</v>
      </c>
      <c r="E226" s="152">
        <v>40719</v>
      </c>
      <c r="F226" s="149">
        <v>5</v>
      </c>
      <c r="G226" s="149">
        <v>2925</v>
      </c>
    </row>
    <row r="227" spans="1:7" x14ac:dyDescent="0.25">
      <c r="A227" s="148" t="s">
        <v>1527</v>
      </c>
      <c r="B227" s="148" t="s">
        <v>1537</v>
      </c>
      <c r="C227" s="148" t="s">
        <v>1523</v>
      </c>
      <c r="D227" s="148" t="s">
        <v>1528</v>
      </c>
      <c r="E227" s="152">
        <v>40271</v>
      </c>
      <c r="F227" s="149">
        <v>5</v>
      </c>
      <c r="G227" s="149">
        <v>3910</v>
      </c>
    </row>
    <row r="228" spans="1:7" x14ac:dyDescent="0.25">
      <c r="A228" s="148" t="s">
        <v>1520</v>
      </c>
      <c r="B228" s="148" t="s">
        <v>1537</v>
      </c>
      <c r="C228" s="148" t="s">
        <v>1514</v>
      </c>
      <c r="D228" s="148" t="s">
        <v>1528</v>
      </c>
      <c r="E228" s="152">
        <v>40476</v>
      </c>
      <c r="F228" s="149">
        <v>5</v>
      </c>
      <c r="G228" s="149">
        <v>3555</v>
      </c>
    </row>
    <row r="229" spans="1:7" x14ac:dyDescent="0.25">
      <c r="A229" s="148" t="s">
        <v>1522</v>
      </c>
      <c r="B229" s="148" t="s">
        <v>1537</v>
      </c>
      <c r="C229" s="148" t="s">
        <v>1514</v>
      </c>
      <c r="D229" s="148" t="s">
        <v>1528</v>
      </c>
      <c r="E229" s="152">
        <v>40478</v>
      </c>
      <c r="F229" s="149">
        <v>5</v>
      </c>
      <c r="G229" s="149">
        <v>1880</v>
      </c>
    </row>
    <row r="230" spans="1:7" x14ac:dyDescent="0.25">
      <c r="A230" s="148" t="s">
        <v>1524</v>
      </c>
      <c r="B230" s="148" t="s">
        <v>1537</v>
      </c>
      <c r="C230" s="148" t="s">
        <v>1517</v>
      </c>
      <c r="D230" s="148" t="s">
        <v>1533</v>
      </c>
      <c r="E230" s="152">
        <v>40341</v>
      </c>
      <c r="F230" s="149">
        <v>6</v>
      </c>
      <c r="G230" s="149">
        <v>2610</v>
      </c>
    </row>
    <row r="231" spans="1:7" x14ac:dyDescent="0.25">
      <c r="A231" s="148" t="s">
        <v>1520</v>
      </c>
      <c r="B231" s="148" t="s">
        <v>1537</v>
      </c>
      <c r="C231" s="148" t="s">
        <v>1517</v>
      </c>
      <c r="D231" s="148" t="s">
        <v>1533</v>
      </c>
      <c r="E231" s="152">
        <v>40372</v>
      </c>
      <c r="F231" s="149">
        <v>6</v>
      </c>
      <c r="G231" s="149">
        <v>2334</v>
      </c>
    </row>
    <row r="232" spans="1:7" x14ac:dyDescent="0.25">
      <c r="A232" s="148" t="s">
        <v>1518</v>
      </c>
      <c r="B232" s="148" t="s">
        <v>1537</v>
      </c>
      <c r="C232" s="148" t="s">
        <v>1514</v>
      </c>
      <c r="D232" s="148" t="s">
        <v>1533</v>
      </c>
      <c r="E232" s="152">
        <v>40470</v>
      </c>
      <c r="F232" s="149">
        <v>6</v>
      </c>
      <c r="G232" s="149">
        <v>5310</v>
      </c>
    </row>
    <row r="233" spans="1:7" x14ac:dyDescent="0.25">
      <c r="A233" s="148" t="s">
        <v>1525</v>
      </c>
      <c r="B233" s="148" t="s">
        <v>1537</v>
      </c>
      <c r="C233" s="148" t="s">
        <v>1523</v>
      </c>
      <c r="D233" s="148" t="s">
        <v>1513</v>
      </c>
      <c r="E233" s="152">
        <v>40312</v>
      </c>
      <c r="F233" s="149">
        <v>6</v>
      </c>
      <c r="G233" s="149">
        <v>3666</v>
      </c>
    </row>
    <row r="234" spans="1:7" x14ac:dyDescent="0.25">
      <c r="A234" s="148" t="s">
        <v>1532</v>
      </c>
      <c r="B234" s="148" t="s">
        <v>1537</v>
      </c>
      <c r="C234" s="148" t="s">
        <v>1519</v>
      </c>
      <c r="D234" s="148" t="s">
        <v>1513</v>
      </c>
      <c r="E234" s="152">
        <v>40730</v>
      </c>
      <c r="F234" s="149">
        <v>6</v>
      </c>
      <c r="G234" s="149">
        <v>4680</v>
      </c>
    </row>
    <row r="235" spans="1:7" x14ac:dyDescent="0.25">
      <c r="A235" s="148" t="s">
        <v>1534</v>
      </c>
      <c r="B235" s="148" t="s">
        <v>1537</v>
      </c>
      <c r="C235" s="148" t="s">
        <v>1523</v>
      </c>
      <c r="D235" s="148" t="s">
        <v>1531</v>
      </c>
      <c r="E235" s="152">
        <v>40596</v>
      </c>
      <c r="F235" s="149">
        <v>6</v>
      </c>
      <c r="G235" s="149">
        <v>3612</v>
      </c>
    </row>
    <row r="236" spans="1:7" x14ac:dyDescent="0.25">
      <c r="A236" s="148" t="s">
        <v>1518</v>
      </c>
      <c r="B236" s="148" t="s">
        <v>1537</v>
      </c>
      <c r="C236" s="148" t="s">
        <v>1517</v>
      </c>
      <c r="D236" s="148" t="s">
        <v>1531</v>
      </c>
      <c r="E236" s="152">
        <v>40628</v>
      </c>
      <c r="F236" s="149">
        <v>6</v>
      </c>
      <c r="G236" s="149">
        <v>3948</v>
      </c>
    </row>
    <row r="237" spans="1:7" x14ac:dyDescent="0.25">
      <c r="A237" s="148" t="s">
        <v>1532</v>
      </c>
      <c r="B237" s="148" t="s">
        <v>1537</v>
      </c>
      <c r="C237" s="148" t="s">
        <v>1517</v>
      </c>
      <c r="D237" s="148" t="s">
        <v>1531</v>
      </c>
      <c r="E237" s="152">
        <v>40851</v>
      </c>
      <c r="F237" s="149">
        <v>6</v>
      </c>
      <c r="G237" s="149">
        <v>5376</v>
      </c>
    </row>
    <row r="238" spans="1:7" x14ac:dyDescent="0.25">
      <c r="A238" s="148" t="s">
        <v>1527</v>
      </c>
      <c r="B238" s="148" t="s">
        <v>1537</v>
      </c>
      <c r="C238" s="148" t="s">
        <v>1514</v>
      </c>
      <c r="D238" s="148" t="s">
        <v>1530</v>
      </c>
      <c r="E238" s="152">
        <v>40207</v>
      </c>
      <c r="F238" s="149">
        <v>6</v>
      </c>
      <c r="G238" s="153">
        <v>4086</v>
      </c>
    </row>
    <row r="239" spans="1:7" x14ac:dyDescent="0.25">
      <c r="A239" s="148" t="s">
        <v>1524</v>
      </c>
      <c r="B239" s="148" t="s">
        <v>1537</v>
      </c>
      <c r="C239" s="148" t="s">
        <v>1514</v>
      </c>
      <c r="D239" s="148" t="s">
        <v>1530</v>
      </c>
      <c r="E239" s="152">
        <v>40731</v>
      </c>
      <c r="F239" s="149">
        <v>6</v>
      </c>
      <c r="G239" s="149">
        <v>5388</v>
      </c>
    </row>
    <row r="240" spans="1:7" x14ac:dyDescent="0.25">
      <c r="A240" s="148" t="s">
        <v>1521</v>
      </c>
      <c r="B240" s="148" t="s">
        <v>1537</v>
      </c>
      <c r="C240" s="148" t="s">
        <v>1523</v>
      </c>
      <c r="D240" s="148" t="s">
        <v>1528</v>
      </c>
      <c r="E240" s="152">
        <v>40484</v>
      </c>
      <c r="F240" s="149">
        <v>6</v>
      </c>
      <c r="G240" s="149">
        <v>3564</v>
      </c>
    </row>
    <row r="241" spans="1:7" x14ac:dyDescent="0.25">
      <c r="A241" s="148" t="s">
        <v>1527</v>
      </c>
      <c r="B241" s="148" t="s">
        <v>1537</v>
      </c>
      <c r="C241" s="148" t="s">
        <v>1519</v>
      </c>
      <c r="D241" s="148" t="s">
        <v>1528</v>
      </c>
      <c r="E241" s="152">
        <v>40246</v>
      </c>
      <c r="F241" s="149">
        <v>6</v>
      </c>
      <c r="G241" s="153">
        <v>3174</v>
      </c>
    </row>
    <row r="242" spans="1:7" x14ac:dyDescent="0.25">
      <c r="A242" s="148" t="s">
        <v>1534</v>
      </c>
      <c r="B242" s="148" t="s">
        <v>1537</v>
      </c>
      <c r="C242" s="148" t="s">
        <v>1517</v>
      </c>
      <c r="D242" s="148" t="s">
        <v>1528</v>
      </c>
      <c r="E242" s="152">
        <v>40746</v>
      </c>
      <c r="F242" s="149">
        <v>6</v>
      </c>
      <c r="G242" s="149">
        <v>5028</v>
      </c>
    </row>
    <row r="243" spans="1:7" x14ac:dyDescent="0.25">
      <c r="A243" s="148" t="s">
        <v>1520</v>
      </c>
      <c r="B243" s="148" t="s">
        <v>1537</v>
      </c>
      <c r="C243" s="148" t="s">
        <v>1523</v>
      </c>
      <c r="D243" s="148" t="s">
        <v>1533</v>
      </c>
      <c r="E243" s="152">
        <v>40712</v>
      </c>
      <c r="F243" s="149">
        <v>7</v>
      </c>
      <c r="G243" s="149">
        <v>3395</v>
      </c>
    </row>
    <row r="244" spans="1:7" x14ac:dyDescent="0.25">
      <c r="A244" s="148" t="s">
        <v>1526</v>
      </c>
      <c r="B244" s="148" t="s">
        <v>1537</v>
      </c>
      <c r="C244" s="148" t="s">
        <v>1519</v>
      </c>
      <c r="D244" s="148" t="s">
        <v>1513</v>
      </c>
      <c r="E244" s="152">
        <v>40190</v>
      </c>
      <c r="F244" s="149">
        <v>7</v>
      </c>
      <c r="G244" s="149">
        <v>2751</v>
      </c>
    </row>
    <row r="245" spans="1:7" x14ac:dyDescent="0.25">
      <c r="A245" s="148" t="s">
        <v>1521</v>
      </c>
      <c r="B245" s="148" t="s">
        <v>1537</v>
      </c>
      <c r="C245" s="148" t="s">
        <v>1517</v>
      </c>
      <c r="D245" s="148" t="s">
        <v>1513</v>
      </c>
      <c r="E245" s="152">
        <v>40212</v>
      </c>
      <c r="F245" s="149">
        <v>7</v>
      </c>
      <c r="G245" s="149">
        <v>2849</v>
      </c>
    </row>
    <row r="246" spans="1:7" x14ac:dyDescent="0.25">
      <c r="A246" s="148" t="s">
        <v>1520</v>
      </c>
      <c r="B246" s="148" t="s">
        <v>1537</v>
      </c>
      <c r="C246" s="148" t="s">
        <v>1523</v>
      </c>
      <c r="D246" s="148" t="s">
        <v>1531</v>
      </c>
      <c r="E246" s="152">
        <v>40549</v>
      </c>
      <c r="F246" s="149">
        <v>7</v>
      </c>
      <c r="G246" s="149">
        <v>5999</v>
      </c>
    </row>
    <row r="247" spans="1:7" x14ac:dyDescent="0.25">
      <c r="A247" s="148" t="s">
        <v>1521</v>
      </c>
      <c r="B247" s="148" t="s">
        <v>1537</v>
      </c>
      <c r="C247" s="148" t="s">
        <v>1523</v>
      </c>
      <c r="D247" s="148" t="s">
        <v>1531</v>
      </c>
      <c r="E247" s="152">
        <v>40582</v>
      </c>
      <c r="F247" s="149">
        <v>7</v>
      </c>
      <c r="G247" s="149">
        <v>2716</v>
      </c>
    </row>
    <row r="248" spans="1:7" x14ac:dyDescent="0.25">
      <c r="A248" s="148" t="s">
        <v>1527</v>
      </c>
      <c r="B248" s="148" t="s">
        <v>1537</v>
      </c>
      <c r="C248" s="148" t="s">
        <v>1517</v>
      </c>
      <c r="D248" s="148" t="s">
        <v>1530</v>
      </c>
      <c r="E248" s="152">
        <v>40728</v>
      </c>
      <c r="F248" s="149">
        <v>7</v>
      </c>
      <c r="G248" s="149">
        <v>3101</v>
      </c>
    </row>
    <row r="249" spans="1:7" x14ac:dyDescent="0.25">
      <c r="A249" s="148" t="s">
        <v>1520</v>
      </c>
      <c r="B249" s="148" t="s">
        <v>1537</v>
      </c>
      <c r="C249" s="148" t="s">
        <v>1517</v>
      </c>
      <c r="D249" s="148" t="s">
        <v>1530</v>
      </c>
      <c r="E249" s="152">
        <v>40866</v>
      </c>
      <c r="F249" s="149">
        <v>7</v>
      </c>
      <c r="G249" s="149">
        <v>5082</v>
      </c>
    </row>
    <row r="250" spans="1:7" x14ac:dyDescent="0.25">
      <c r="A250" s="148" t="s">
        <v>1527</v>
      </c>
      <c r="B250" s="148" t="s">
        <v>1537</v>
      </c>
      <c r="C250" s="148" t="s">
        <v>1523</v>
      </c>
      <c r="D250" s="148" t="s">
        <v>1528</v>
      </c>
      <c r="E250" s="152">
        <v>40765</v>
      </c>
      <c r="F250" s="149">
        <v>7</v>
      </c>
      <c r="G250" s="149">
        <v>4277</v>
      </c>
    </row>
    <row r="251" spans="1:7" x14ac:dyDescent="0.25">
      <c r="A251" s="148" t="s">
        <v>1527</v>
      </c>
      <c r="B251" s="148" t="s">
        <v>1537</v>
      </c>
      <c r="C251" s="148" t="s">
        <v>1519</v>
      </c>
      <c r="D251" s="148" t="s">
        <v>1528</v>
      </c>
      <c r="E251" s="152">
        <v>40789</v>
      </c>
      <c r="F251" s="149">
        <v>7</v>
      </c>
      <c r="G251" s="149">
        <v>3304</v>
      </c>
    </row>
    <row r="252" spans="1:7" x14ac:dyDescent="0.25">
      <c r="A252" s="148" t="s">
        <v>1521</v>
      </c>
      <c r="B252" s="148" t="s">
        <v>1537</v>
      </c>
      <c r="C252" s="148" t="s">
        <v>1517</v>
      </c>
      <c r="D252" s="148" t="s">
        <v>1528</v>
      </c>
      <c r="E252" s="152">
        <v>40782</v>
      </c>
      <c r="F252" s="149">
        <v>7</v>
      </c>
      <c r="G252" s="149">
        <v>2947</v>
      </c>
    </row>
    <row r="253" spans="1:7" x14ac:dyDescent="0.25">
      <c r="A253" s="148" t="s">
        <v>1529</v>
      </c>
      <c r="B253" s="148" t="s">
        <v>1537</v>
      </c>
      <c r="C253" s="148" t="s">
        <v>1514</v>
      </c>
      <c r="D253" s="148" t="s">
        <v>1528</v>
      </c>
      <c r="E253" s="152">
        <v>40456</v>
      </c>
      <c r="F253" s="149">
        <v>7</v>
      </c>
      <c r="G253" s="149">
        <v>2919</v>
      </c>
    </row>
    <row r="254" spans="1:7" x14ac:dyDescent="0.25">
      <c r="A254" s="148" t="s">
        <v>1521</v>
      </c>
      <c r="B254" s="148" t="s">
        <v>1537</v>
      </c>
      <c r="C254" s="148" t="s">
        <v>1519</v>
      </c>
      <c r="D254" s="148" t="s">
        <v>1533</v>
      </c>
      <c r="E254" s="152">
        <v>40290</v>
      </c>
      <c r="F254" s="149">
        <v>8</v>
      </c>
      <c r="G254" s="149">
        <v>5088</v>
      </c>
    </row>
    <row r="255" spans="1:7" x14ac:dyDescent="0.25">
      <c r="A255" s="148" t="s">
        <v>1518</v>
      </c>
      <c r="B255" s="148" t="s">
        <v>1537</v>
      </c>
      <c r="C255" s="148" t="s">
        <v>1519</v>
      </c>
      <c r="D255" s="148" t="s">
        <v>1533</v>
      </c>
      <c r="E255" s="152">
        <v>40435</v>
      </c>
      <c r="F255" s="149">
        <v>8</v>
      </c>
      <c r="G255" s="149">
        <v>3288</v>
      </c>
    </row>
    <row r="256" spans="1:7" x14ac:dyDescent="0.25">
      <c r="A256" s="148" t="s">
        <v>1527</v>
      </c>
      <c r="B256" s="148" t="s">
        <v>1537</v>
      </c>
      <c r="C256" s="148" t="s">
        <v>1517</v>
      </c>
      <c r="D256" s="148" t="s">
        <v>1533</v>
      </c>
      <c r="E256" s="152">
        <v>40296</v>
      </c>
      <c r="F256" s="149">
        <v>8</v>
      </c>
      <c r="G256" s="149">
        <v>3592</v>
      </c>
    </row>
    <row r="257" spans="1:7" x14ac:dyDescent="0.25">
      <c r="A257" s="148" t="s">
        <v>1527</v>
      </c>
      <c r="B257" s="148" t="s">
        <v>1537</v>
      </c>
      <c r="C257" s="148" t="s">
        <v>1523</v>
      </c>
      <c r="D257" s="148" t="s">
        <v>1513</v>
      </c>
      <c r="E257" s="152">
        <v>40501</v>
      </c>
      <c r="F257" s="149">
        <v>8</v>
      </c>
      <c r="G257" s="149">
        <v>3568</v>
      </c>
    </row>
    <row r="258" spans="1:7" x14ac:dyDescent="0.25">
      <c r="A258" s="148" t="s">
        <v>1529</v>
      </c>
      <c r="B258" s="148" t="s">
        <v>1537</v>
      </c>
      <c r="C258" s="148" t="s">
        <v>1523</v>
      </c>
      <c r="D258" s="148" t="s">
        <v>1513</v>
      </c>
      <c r="E258" s="152">
        <v>40703</v>
      </c>
      <c r="F258" s="149">
        <v>8</v>
      </c>
      <c r="G258" s="149">
        <v>7120</v>
      </c>
    </row>
    <row r="259" spans="1:7" x14ac:dyDescent="0.25">
      <c r="A259" s="148" t="s">
        <v>1534</v>
      </c>
      <c r="B259" s="148" t="s">
        <v>1537</v>
      </c>
      <c r="C259" s="148" t="s">
        <v>1519</v>
      </c>
      <c r="D259" s="148" t="s">
        <v>1513</v>
      </c>
      <c r="E259" s="152">
        <v>40891</v>
      </c>
      <c r="F259" s="149">
        <v>8</v>
      </c>
      <c r="G259" s="149">
        <v>4824</v>
      </c>
    </row>
    <row r="260" spans="1:7" x14ac:dyDescent="0.25">
      <c r="A260" s="148" t="s">
        <v>1526</v>
      </c>
      <c r="B260" s="148" t="s">
        <v>1537</v>
      </c>
      <c r="C260" s="148" t="s">
        <v>1519</v>
      </c>
      <c r="D260" s="148" t="s">
        <v>1531</v>
      </c>
      <c r="E260" s="152">
        <v>40679</v>
      </c>
      <c r="F260" s="149">
        <v>8</v>
      </c>
      <c r="G260" s="149">
        <v>3080</v>
      </c>
    </row>
    <row r="261" spans="1:7" x14ac:dyDescent="0.25">
      <c r="A261" s="148" t="s">
        <v>1516</v>
      </c>
      <c r="B261" s="148" t="s">
        <v>1537</v>
      </c>
      <c r="C261" s="148" t="s">
        <v>1519</v>
      </c>
      <c r="D261" s="148" t="s">
        <v>1531</v>
      </c>
      <c r="E261" s="152">
        <v>40831</v>
      </c>
      <c r="F261" s="149">
        <v>8</v>
      </c>
      <c r="G261" s="149">
        <v>3392</v>
      </c>
    </row>
    <row r="262" spans="1:7" x14ac:dyDescent="0.25">
      <c r="A262" s="148" t="s">
        <v>1526</v>
      </c>
      <c r="B262" s="148" t="s">
        <v>1537</v>
      </c>
      <c r="C262" s="148" t="s">
        <v>1519</v>
      </c>
      <c r="D262" s="148" t="s">
        <v>1530</v>
      </c>
      <c r="E262" s="152">
        <v>40756</v>
      </c>
      <c r="F262" s="149">
        <v>8</v>
      </c>
      <c r="G262" s="149">
        <v>6800</v>
      </c>
    </row>
    <row r="263" spans="1:7" x14ac:dyDescent="0.25">
      <c r="A263" s="148" t="s">
        <v>1526</v>
      </c>
      <c r="B263" s="148" t="s">
        <v>1537</v>
      </c>
      <c r="C263" s="148" t="s">
        <v>1517</v>
      </c>
      <c r="D263" s="148" t="s">
        <v>1530</v>
      </c>
      <c r="E263" s="152">
        <v>40206</v>
      </c>
      <c r="F263" s="149">
        <v>8</v>
      </c>
      <c r="G263" s="153">
        <v>4096</v>
      </c>
    </row>
    <row r="264" spans="1:7" x14ac:dyDescent="0.25">
      <c r="A264" s="148" t="s">
        <v>1520</v>
      </c>
      <c r="B264" s="148" t="s">
        <v>1537</v>
      </c>
      <c r="C264" s="148" t="s">
        <v>1514</v>
      </c>
      <c r="D264" s="148" t="s">
        <v>1530</v>
      </c>
      <c r="E264" s="152">
        <v>40680</v>
      </c>
      <c r="F264" s="149">
        <v>8</v>
      </c>
      <c r="G264" s="149">
        <v>3544</v>
      </c>
    </row>
    <row r="265" spans="1:7" x14ac:dyDescent="0.25">
      <c r="A265" s="148" t="s">
        <v>1522</v>
      </c>
      <c r="B265" s="148" t="s">
        <v>1537</v>
      </c>
      <c r="C265" s="148" t="s">
        <v>1523</v>
      </c>
      <c r="D265" s="148" t="s">
        <v>1528</v>
      </c>
      <c r="E265" s="152">
        <v>40351</v>
      </c>
      <c r="F265" s="149">
        <v>8</v>
      </c>
      <c r="G265" s="149">
        <v>4080</v>
      </c>
    </row>
    <row r="266" spans="1:7" x14ac:dyDescent="0.25">
      <c r="A266" s="148" t="s">
        <v>1521</v>
      </c>
      <c r="B266" s="148" t="s">
        <v>1537</v>
      </c>
      <c r="C266" s="148" t="s">
        <v>1519</v>
      </c>
      <c r="D266" s="148" t="s">
        <v>1528</v>
      </c>
      <c r="E266" s="152">
        <v>40541</v>
      </c>
      <c r="F266" s="149">
        <v>8</v>
      </c>
      <c r="G266" s="149">
        <v>6872</v>
      </c>
    </row>
    <row r="267" spans="1:7" x14ac:dyDescent="0.25">
      <c r="A267" s="148" t="s">
        <v>1527</v>
      </c>
      <c r="B267" s="148" t="s">
        <v>1537</v>
      </c>
      <c r="C267" s="148" t="s">
        <v>1517</v>
      </c>
      <c r="D267" s="148" t="s">
        <v>1528</v>
      </c>
      <c r="E267" s="152">
        <v>40561</v>
      </c>
      <c r="F267" s="149">
        <v>8</v>
      </c>
      <c r="G267" s="149">
        <v>6576</v>
      </c>
    </row>
    <row r="268" spans="1:7" x14ac:dyDescent="0.25">
      <c r="A268" s="148" t="s">
        <v>1520</v>
      </c>
      <c r="B268" s="148" t="s">
        <v>1537</v>
      </c>
      <c r="C268" s="148" t="s">
        <v>1514</v>
      </c>
      <c r="D268" s="148" t="s">
        <v>1528</v>
      </c>
      <c r="E268" s="152">
        <v>40278</v>
      </c>
      <c r="F268" s="149">
        <v>8</v>
      </c>
      <c r="G268" s="149">
        <v>5056</v>
      </c>
    </row>
    <row r="269" spans="1:7" x14ac:dyDescent="0.25">
      <c r="A269" s="148" t="s">
        <v>1527</v>
      </c>
      <c r="B269" s="148" t="s">
        <v>1537</v>
      </c>
      <c r="C269" s="148" t="s">
        <v>1523</v>
      </c>
      <c r="D269" s="148" t="s">
        <v>1533</v>
      </c>
      <c r="E269" s="152">
        <v>40878</v>
      </c>
      <c r="F269" s="149">
        <v>9</v>
      </c>
      <c r="G269" s="149">
        <v>7461</v>
      </c>
    </row>
    <row r="270" spans="1:7" x14ac:dyDescent="0.25">
      <c r="A270" s="148" t="s">
        <v>1521</v>
      </c>
      <c r="B270" s="148" t="s">
        <v>1537</v>
      </c>
      <c r="C270" s="148" t="s">
        <v>1519</v>
      </c>
      <c r="D270" s="148" t="s">
        <v>1533</v>
      </c>
      <c r="E270" s="152">
        <v>40332</v>
      </c>
      <c r="F270" s="149">
        <v>9</v>
      </c>
      <c r="G270" s="149">
        <v>3438</v>
      </c>
    </row>
    <row r="271" spans="1:7" x14ac:dyDescent="0.25">
      <c r="A271" s="148" t="s">
        <v>1534</v>
      </c>
      <c r="B271" s="148" t="s">
        <v>1537</v>
      </c>
      <c r="C271" s="148" t="s">
        <v>1519</v>
      </c>
      <c r="D271" s="148" t="s">
        <v>1533</v>
      </c>
      <c r="E271" s="152">
        <v>40792</v>
      </c>
      <c r="F271" s="149">
        <v>9</v>
      </c>
      <c r="G271" s="149">
        <v>7803</v>
      </c>
    </row>
    <row r="272" spans="1:7" x14ac:dyDescent="0.25">
      <c r="A272" s="148" t="s">
        <v>1524</v>
      </c>
      <c r="B272" s="148" t="s">
        <v>1537</v>
      </c>
      <c r="C272" s="148" t="s">
        <v>1517</v>
      </c>
      <c r="D272" s="148" t="s">
        <v>1533</v>
      </c>
      <c r="E272" s="152">
        <v>40750</v>
      </c>
      <c r="F272" s="149">
        <v>9</v>
      </c>
      <c r="G272" s="149">
        <v>5256</v>
      </c>
    </row>
    <row r="273" spans="1:7" x14ac:dyDescent="0.25">
      <c r="A273" s="148" t="s">
        <v>1522</v>
      </c>
      <c r="B273" s="148" t="s">
        <v>1537</v>
      </c>
      <c r="C273" s="148" t="s">
        <v>1514</v>
      </c>
      <c r="D273" s="148" t="s">
        <v>1533</v>
      </c>
      <c r="E273" s="152">
        <v>40526</v>
      </c>
      <c r="F273" s="149">
        <v>9</v>
      </c>
      <c r="G273" s="149">
        <v>2790</v>
      </c>
    </row>
    <row r="274" spans="1:7" x14ac:dyDescent="0.25">
      <c r="A274" s="148" t="s">
        <v>1527</v>
      </c>
      <c r="B274" s="148" t="s">
        <v>1537</v>
      </c>
      <c r="C274" s="148" t="s">
        <v>1523</v>
      </c>
      <c r="D274" s="148" t="s">
        <v>1513</v>
      </c>
      <c r="E274" s="152">
        <v>40181</v>
      </c>
      <c r="F274" s="149">
        <v>9</v>
      </c>
      <c r="G274" s="149">
        <v>5301</v>
      </c>
    </row>
    <row r="275" spans="1:7" x14ac:dyDescent="0.25">
      <c r="A275" s="148" t="s">
        <v>1518</v>
      </c>
      <c r="B275" s="148" t="s">
        <v>1537</v>
      </c>
      <c r="C275" s="148" t="s">
        <v>1519</v>
      </c>
      <c r="D275" s="148" t="s">
        <v>1513</v>
      </c>
      <c r="E275" s="152">
        <v>40368</v>
      </c>
      <c r="F275" s="149">
        <v>9</v>
      </c>
      <c r="G275" s="149">
        <v>4455</v>
      </c>
    </row>
    <row r="276" spans="1:7" x14ac:dyDescent="0.25">
      <c r="A276" s="148" t="s">
        <v>1518</v>
      </c>
      <c r="B276" s="148" t="s">
        <v>1537</v>
      </c>
      <c r="C276" s="148" t="s">
        <v>1514</v>
      </c>
      <c r="D276" s="148" t="s">
        <v>1513</v>
      </c>
      <c r="E276" s="152">
        <v>40212</v>
      </c>
      <c r="F276" s="149">
        <v>9</v>
      </c>
      <c r="G276" s="149">
        <v>8028</v>
      </c>
    </row>
    <row r="277" spans="1:7" x14ac:dyDescent="0.25">
      <c r="A277" s="148" t="s">
        <v>1524</v>
      </c>
      <c r="B277" s="148" t="s">
        <v>1537</v>
      </c>
      <c r="C277" s="148" t="s">
        <v>1514</v>
      </c>
      <c r="D277" s="148" t="s">
        <v>1513</v>
      </c>
      <c r="E277" s="152">
        <v>40731</v>
      </c>
      <c r="F277" s="149">
        <v>9</v>
      </c>
      <c r="G277" s="149">
        <v>7344</v>
      </c>
    </row>
    <row r="278" spans="1:7" x14ac:dyDescent="0.25">
      <c r="A278" s="148" t="s">
        <v>1529</v>
      </c>
      <c r="B278" s="148" t="s">
        <v>1537</v>
      </c>
      <c r="C278" s="148" t="s">
        <v>1519</v>
      </c>
      <c r="D278" s="148" t="s">
        <v>1531</v>
      </c>
      <c r="E278" s="152">
        <v>40380</v>
      </c>
      <c r="F278" s="149">
        <v>9</v>
      </c>
      <c r="G278" s="149">
        <v>4959</v>
      </c>
    </row>
    <row r="279" spans="1:7" x14ac:dyDescent="0.25">
      <c r="A279" s="148" t="s">
        <v>1525</v>
      </c>
      <c r="B279" s="148" t="s">
        <v>1537</v>
      </c>
      <c r="C279" s="148" t="s">
        <v>1517</v>
      </c>
      <c r="D279" s="148" t="s">
        <v>1531</v>
      </c>
      <c r="E279" s="152">
        <v>40247</v>
      </c>
      <c r="F279" s="149">
        <v>9</v>
      </c>
      <c r="G279" s="153">
        <v>5742</v>
      </c>
    </row>
    <row r="280" spans="1:7" x14ac:dyDescent="0.25">
      <c r="A280" s="148" t="s">
        <v>1526</v>
      </c>
      <c r="B280" s="148" t="s">
        <v>1537</v>
      </c>
      <c r="C280" s="148" t="s">
        <v>1517</v>
      </c>
      <c r="D280" s="148" t="s">
        <v>1530</v>
      </c>
      <c r="E280" s="152">
        <v>40498</v>
      </c>
      <c r="F280" s="149">
        <v>9</v>
      </c>
      <c r="G280" s="149">
        <v>7002</v>
      </c>
    </row>
    <row r="281" spans="1:7" x14ac:dyDescent="0.25">
      <c r="A281" s="148" t="s">
        <v>1522</v>
      </c>
      <c r="B281" s="148" t="s">
        <v>1537</v>
      </c>
      <c r="C281" s="148" t="s">
        <v>1523</v>
      </c>
      <c r="D281" s="148" t="s">
        <v>1528</v>
      </c>
      <c r="E281" s="152">
        <v>40422</v>
      </c>
      <c r="F281" s="149">
        <v>9</v>
      </c>
      <c r="G281" s="149">
        <v>3789</v>
      </c>
    </row>
    <row r="282" spans="1:7" x14ac:dyDescent="0.25">
      <c r="A282" s="148" t="s">
        <v>1520</v>
      </c>
      <c r="B282" s="148" t="s">
        <v>1537</v>
      </c>
      <c r="C282" s="148" t="s">
        <v>1519</v>
      </c>
      <c r="D282" s="148" t="s">
        <v>1528</v>
      </c>
      <c r="E282" s="152">
        <v>40267</v>
      </c>
      <c r="F282" s="149">
        <v>9</v>
      </c>
      <c r="G282" s="149">
        <v>3006</v>
      </c>
    </row>
    <row r="283" spans="1:7" x14ac:dyDescent="0.25">
      <c r="A283" s="148" t="s">
        <v>1526</v>
      </c>
      <c r="B283" s="148" t="s">
        <v>1537</v>
      </c>
      <c r="C283" s="148" t="s">
        <v>1519</v>
      </c>
      <c r="D283" s="148" t="s">
        <v>1528</v>
      </c>
      <c r="E283" s="152">
        <v>40691</v>
      </c>
      <c r="F283" s="149">
        <v>9</v>
      </c>
      <c r="G283" s="149">
        <v>4041</v>
      </c>
    </row>
    <row r="284" spans="1:7" x14ac:dyDescent="0.25">
      <c r="A284" s="148" t="s">
        <v>1526</v>
      </c>
      <c r="B284" s="148" t="s">
        <v>1537</v>
      </c>
      <c r="C284" s="148" t="s">
        <v>1517</v>
      </c>
      <c r="D284" s="148" t="s">
        <v>1528</v>
      </c>
      <c r="E284" s="152">
        <v>40576</v>
      </c>
      <c r="F284" s="149">
        <v>9</v>
      </c>
      <c r="G284" s="149">
        <v>6165</v>
      </c>
    </row>
    <row r="285" spans="1:7" x14ac:dyDescent="0.25">
      <c r="A285" s="148" t="s">
        <v>1520</v>
      </c>
      <c r="B285" s="148" t="s">
        <v>1537</v>
      </c>
      <c r="C285" s="148" t="s">
        <v>1517</v>
      </c>
      <c r="D285" s="148" t="s">
        <v>1528</v>
      </c>
      <c r="E285" s="152">
        <v>40666</v>
      </c>
      <c r="F285" s="149">
        <v>9</v>
      </c>
      <c r="G285" s="149">
        <v>6939</v>
      </c>
    </row>
    <row r="286" spans="1:7" x14ac:dyDescent="0.25">
      <c r="A286" s="148" t="s">
        <v>1527</v>
      </c>
      <c r="B286" s="148" t="s">
        <v>1537</v>
      </c>
      <c r="C286" s="148" t="s">
        <v>1523</v>
      </c>
      <c r="D286" s="148" t="s">
        <v>1533</v>
      </c>
      <c r="E286" s="152">
        <v>40389</v>
      </c>
      <c r="F286" s="149">
        <v>10</v>
      </c>
      <c r="G286" s="149">
        <v>8540</v>
      </c>
    </row>
    <row r="287" spans="1:7" x14ac:dyDescent="0.25">
      <c r="A287" s="148" t="s">
        <v>1524</v>
      </c>
      <c r="B287" s="148" t="s">
        <v>1537</v>
      </c>
      <c r="C287" s="148" t="s">
        <v>1523</v>
      </c>
      <c r="D287" s="148" t="s">
        <v>1533</v>
      </c>
      <c r="E287" s="152">
        <v>40665</v>
      </c>
      <c r="F287" s="149">
        <v>10</v>
      </c>
      <c r="G287" s="149">
        <v>5650</v>
      </c>
    </row>
    <row r="288" spans="1:7" x14ac:dyDescent="0.25">
      <c r="A288" s="148" t="s">
        <v>1534</v>
      </c>
      <c r="B288" s="148" t="s">
        <v>1537</v>
      </c>
      <c r="C288" s="148" t="s">
        <v>1523</v>
      </c>
      <c r="D288" s="148" t="s">
        <v>1533</v>
      </c>
      <c r="E288" s="152">
        <v>40759</v>
      </c>
      <c r="F288" s="149">
        <v>10</v>
      </c>
      <c r="G288" s="149">
        <v>7760</v>
      </c>
    </row>
    <row r="289" spans="1:7" x14ac:dyDescent="0.25">
      <c r="A289" s="148" t="s">
        <v>1527</v>
      </c>
      <c r="B289" s="148" t="s">
        <v>1537</v>
      </c>
      <c r="C289" s="148" t="s">
        <v>1517</v>
      </c>
      <c r="D289" s="148" t="s">
        <v>1533</v>
      </c>
      <c r="E289" s="152">
        <v>40670</v>
      </c>
      <c r="F289" s="149">
        <v>10</v>
      </c>
      <c r="G289" s="149">
        <v>8130</v>
      </c>
    </row>
    <row r="290" spans="1:7" x14ac:dyDescent="0.25">
      <c r="A290" s="148" t="s">
        <v>1524</v>
      </c>
      <c r="B290" s="148" t="s">
        <v>1537</v>
      </c>
      <c r="C290" s="148" t="s">
        <v>1514</v>
      </c>
      <c r="D290" s="148" t="s">
        <v>1533</v>
      </c>
      <c r="E290" s="152">
        <v>40344</v>
      </c>
      <c r="F290" s="149">
        <v>10</v>
      </c>
      <c r="G290" s="149">
        <v>3230</v>
      </c>
    </row>
    <row r="291" spans="1:7" x14ac:dyDescent="0.25">
      <c r="A291" s="148" t="s">
        <v>1532</v>
      </c>
      <c r="B291" s="148" t="s">
        <v>1537</v>
      </c>
      <c r="C291" s="148" t="s">
        <v>1523</v>
      </c>
      <c r="D291" s="148" t="s">
        <v>1531</v>
      </c>
      <c r="E291" s="152">
        <v>40638</v>
      </c>
      <c r="F291" s="149">
        <v>10</v>
      </c>
      <c r="G291" s="149">
        <v>6580</v>
      </c>
    </row>
    <row r="292" spans="1:7" x14ac:dyDescent="0.25">
      <c r="A292" s="148" t="s">
        <v>1532</v>
      </c>
      <c r="B292" s="148" t="s">
        <v>1537</v>
      </c>
      <c r="C292" s="148" t="s">
        <v>1514</v>
      </c>
      <c r="D292" s="148" t="s">
        <v>1531</v>
      </c>
      <c r="E292" s="152">
        <v>40855</v>
      </c>
      <c r="F292" s="149">
        <v>10</v>
      </c>
      <c r="G292" s="149">
        <v>4450</v>
      </c>
    </row>
    <row r="293" spans="1:7" x14ac:dyDescent="0.25">
      <c r="A293" s="148" t="s">
        <v>1516</v>
      </c>
      <c r="B293" s="148" t="s">
        <v>1537</v>
      </c>
      <c r="C293" s="148" t="s">
        <v>1517</v>
      </c>
      <c r="D293" s="148" t="s">
        <v>1530</v>
      </c>
      <c r="E293" s="152">
        <v>40498</v>
      </c>
      <c r="F293" s="149">
        <v>10</v>
      </c>
      <c r="G293" s="149">
        <v>6470</v>
      </c>
    </row>
    <row r="294" spans="1:7" x14ac:dyDescent="0.25">
      <c r="A294" s="148" t="s">
        <v>1527</v>
      </c>
      <c r="B294" s="148" t="s">
        <v>1537</v>
      </c>
      <c r="C294" s="148" t="s">
        <v>1519</v>
      </c>
      <c r="D294" s="148" t="s">
        <v>1528</v>
      </c>
      <c r="E294" s="152">
        <v>40686</v>
      </c>
      <c r="F294" s="149">
        <v>10</v>
      </c>
      <c r="G294" s="149">
        <v>5930</v>
      </c>
    </row>
    <row r="295" spans="1:7" x14ac:dyDescent="0.25">
      <c r="A295" s="148" t="s">
        <v>1532</v>
      </c>
      <c r="B295" s="148" t="s">
        <v>1537</v>
      </c>
      <c r="C295" s="148" t="s">
        <v>1519</v>
      </c>
      <c r="D295" s="148" t="s">
        <v>1528</v>
      </c>
      <c r="E295" s="152">
        <v>40869</v>
      </c>
      <c r="F295" s="149">
        <v>10</v>
      </c>
      <c r="G295" s="149">
        <v>3630</v>
      </c>
    </row>
    <row r="296" spans="1:7" x14ac:dyDescent="0.25">
      <c r="A296" s="148" t="s">
        <v>1520</v>
      </c>
      <c r="B296" s="148" t="s">
        <v>1537</v>
      </c>
      <c r="C296" s="148" t="s">
        <v>1517</v>
      </c>
      <c r="D296" s="148" t="s">
        <v>1528</v>
      </c>
      <c r="E296" s="152">
        <v>40631</v>
      </c>
      <c r="F296" s="149">
        <v>10</v>
      </c>
      <c r="G296" s="149">
        <v>6800</v>
      </c>
    </row>
    <row r="297" spans="1:7" x14ac:dyDescent="0.25">
      <c r="A297" s="148" t="s">
        <v>1527</v>
      </c>
      <c r="B297" s="148" t="s">
        <v>1537</v>
      </c>
      <c r="C297" s="148" t="s">
        <v>1519</v>
      </c>
      <c r="D297" s="148" t="s">
        <v>1533</v>
      </c>
      <c r="E297" s="152">
        <v>40595</v>
      </c>
      <c r="F297" s="149">
        <v>11</v>
      </c>
      <c r="G297" s="149">
        <v>4609</v>
      </c>
    </row>
    <row r="298" spans="1:7" x14ac:dyDescent="0.25">
      <c r="A298" s="148" t="s">
        <v>1529</v>
      </c>
      <c r="B298" s="148" t="s">
        <v>1537</v>
      </c>
      <c r="C298" s="148" t="s">
        <v>1514</v>
      </c>
      <c r="D298" s="148" t="s">
        <v>1533</v>
      </c>
      <c r="E298" s="152">
        <v>40764</v>
      </c>
      <c r="F298" s="149">
        <v>11</v>
      </c>
      <c r="G298" s="149">
        <v>8646</v>
      </c>
    </row>
    <row r="299" spans="1:7" x14ac:dyDescent="0.25">
      <c r="A299" s="148" t="s">
        <v>1516</v>
      </c>
      <c r="B299" s="148" t="s">
        <v>1537</v>
      </c>
      <c r="C299" s="148" t="s">
        <v>1523</v>
      </c>
      <c r="D299" s="148" t="s">
        <v>1513</v>
      </c>
      <c r="E299" s="152">
        <v>40582</v>
      </c>
      <c r="F299" s="149">
        <v>11</v>
      </c>
      <c r="G299" s="149">
        <v>7656</v>
      </c>
    </row>
    <row r="300" spans="1:7" x14ac:dyDescent="0.25">
      <c r="A300" s="148" t="s">
        <v>1521</v>
      </c>
      <c r="B300" s="148" t="s">
        <v>1537</v>
      </c>
      <c r="C300" s="148" t="s">
        <v>1517</v>
      </c>
      <c r="D300" s="148" t="s">
        <v>1513</v>
      </c>
      <c r="E300" s="152">
        <v>40212</v>
      </c>
      <c r="F300" s="149">
        <v>11</v>
      </c>
      <c r="G300" s="149">
        <v>8811</v>
      </c>
    </row>
    <row r="301" spans="1:7" x14ac:dyDescent="0.25">
      <c r="A301" s="148" t="s">
        <v>1525</v>
      </c>
      <c r="B301" s="148" t="s">
        <v>1537</v>
      </c>
      <c r="C301" s="148" t="s">
        <v>1517</v>
      </c>
      <c r="D301" s="148" t="s">
        <v>1513</v>
      </c>
      <c r="E301" s="152">
        <v>40887</v>
      </c>
      <c r="F301" s="149">
        <v>11</v>
      </c>
      <c r="G301" s="149">
        <v>4972</v>
      </c>
    </row>
    <row r="302" spans="1:7" x14ac:dyDescent="0.25">
      <c r="A302" s="148" t="s">
        <v>1526</v>
      </c>
      <c r="B302" s="148" t="s">
        <v>1537</v>
      </c>
      <c r="C302" s="148" t="s">
        <v>1514</v>
      </c>
      <c r="D302" s="148" t="s">
        <v>1513</v>
      </c>
      <c r="E302" s="152">
        <v>40677</v>
      </c>
      <c r="F302" s="149">
        <v>11</v>
      </c>
      <c r="G302" s="149">
        <v>6798</v>
      </c>
    </row>
    <row r="303" spans="1:7" x14ac:dyDescent="0.25">
      <c r="A303" s="148" t="s">
        <v>1532</v>
      </c>
      <c r="B303" s="148" t="s">
        <v>1537</v>
      </c>
      <c r="C303" s="148" t="s">
        <v>1514</v>
      </c>
      <c r="D303" s="148" t="s">
        <v>1530</v>
      </c>
      <c r="E303" s="152">
        <v>40848</v>
      </c>
      <c r="F303" s="149">
        <v>11</v>
      </c>
      <c r="G303" s="149">
        <v>7348</v>
      </c>
    </row>
    <row r="304" spans="1:7" x14ac:dyDescent="0.25">
      <c r="A304" s="148" t="s">
        <v>1522</v>
      </c>
      <c r="B304" s="148" t="s">
        <v>1537</v>
      </c>
      <c r="C304" s="148" t="s">
        <v>1517</v>
      </c>
      <c r="D304" s="148" t="s">
        <v>1528</v>
      </c>
      <c r="E304" s="152">
        <v>40252</v>
      </c>
      <c r="F304" s="149">
        <v>11</v>
      </c>
      <c r="G304" s="153">
        <v>7953</v>
      </c>
    </row>
    <row r="305" spans="1:7" x14ac:dyDescent="0.25">
      <c r="A305" s="148" t="s">
        <v>1522</v>
      </c>
      <c r="B305" s="148" t="s">
        <v>1537</v>
      </c>
      <c r="C305" s="148" t="s">
        <v>1514</v>
      </c>
      <c r="D305" s="148" t="s">
        <v>1528</v>
      </c>
      <c r="E305" s="152">
        <v>40309</v>
      </c>
      <c r="F305" s="149">
        <v>11</v>
      </c>
      <c r="G305" s="149">
        <v>8833</v>
      </c>
    </row>
    <row r="306" spans="1:7" x14ac:dyDescent="0.25">
      <c r="A306" s="148" t="s">
        <v>1532</v>
      </c>
      <c r="B306" s="148" t="s">
        <v>1537</v>
      </c>
      <c r="C306" s="148" t="s">
        <v>1523</v>
      </c>
      <c r="D306" s="148" t="s">
        <v>1513</v>
      </c>
      <c r="E306" s="152">
        <v>40382</v>
      </c>
      <c r="F306" s="149">
        <v>12</v>
      </c>
      <c r="G306" s="149">
        <v>6132</v>
      </c>
    </row>
    <row r="307" spans="1:7" x14ac:dyDescent="0.25">
      <c r="A307" s="148" t="s">
        <v>1526</v>
      </c>
      <c r="B307" s="148" t="s">
        <v>1537</v>
      </c>
      <c r="C307" s="148" t="s">
        <v>1523</v>
      </c>
      <c r="D307" s="148" t="s">
        <v>1513</v>
      </c>
      <c r="E307" s="152">
        <v>40576</v>
      </c>
      <c r="F307" s="149">
        <v>12</v>
      </c>
      <c r="G307" s="149">
        <v>4452</v>
      </c>
    </row>
    <row r="308" spans="1:7" x14ac:dyDescent="0.25">
      <c r="A308" s="148" t="s">
        <v>1526</v>
      </c>
      <c r="B308" s="148" t="s">
        <v>1537</v>
      </c>
      <c r="C308" s="148" t="s">
        <v>1523</v>
      </c>
      <c r="D308" s="148" t="s">
        <v>1513</v>
      </c>
      <c r="E308" s="152">
        <v>40896</v>
      </c>
      <c r="F308" s="149">
        <v>12</v>
      </c>
      <c r="G308" s="149">
        <v>8880</v>
      </c>
    </row>
    <row r="309" spans="1:7" x14ac:dyDescent="0.25">
      <c r="A309" s="148" t="s">
        <v>1518</v>
      </c>
      <c r="B309" s="148" t="s">
        <v>1537</v>
      </c>
      <c r="C309" s="148" t="s">
        <v>1514</v>
      </c>
      <c r="D309" s="148" t="s">
        <v>1513</v>
      </c>
      <c r="E309" s="152">
        <v>40212</v>
      </c>
      <c r="F309" s="149">
        <v>12</v>
      </c>
      <c r="G309" s="149">
        <v>4704</v>
      </c>
    </row>
    <row r="310" spans="1:7" x14ac:dyDescent="0.25">
      <c r="A310" s="148" t="s">
        <v>1521</v>
      </c>
      <c r="B310" s="148" t="s">
        <v>1537</v>
      </c>
      <c r="C310" s="148" t="s">
        <v>1519</v>
      </c>
      <c r="D310" s="148" t="s">
        <v>1531</v>
      </c>
      <c r="E310" s="152">
        <v>40229</v>
      </c>
      <c r="F310" s="149">
        <v>12</v>
      </c>
      <c r="G310" s="153">
        <v>10224</v>
      </c>
    </row>
    <row r="311" spans="1:7" x14ac:dyDescent="0.25">
      <c r="A311" s="148" t="s">
        <v>1518</v>
      </c>
      <c r="B311" s="148" t="s">
        <v>1537</v>
      </c>
      <c r="C311" s="148" t="s">
        <v>1519</v>
      </c>
      <c r="D311" s="148" t="s">
        <v>1531</v>
      </c>
      <c r="E311" s="152">
        <v>40313</v>
      </c>
      <c r="F311" s="149">
        <v>12</v>
      </c>
      <c r="G311" s="149">
        <v>4740</v>
      </c>
    </row>
    <row r="312" spans="1:7" x14ac:dyDescent="0.25">
      <c r="A312" s="148" t="s">
        <v>1516</v>
      </c>
      <c r="B312" s="148" t="s">
        <v>1537</v>
      </c>
      <c r="C312" s="148" t="s">
        <v>1514</v>
      </c>
      <c r="D312" s="148" t="s">
        <v>1531</v>
      </c>
      <c r="E312" s="152">
        <v>40673</v>
      </c>
      <c r="F312" s="149">
        <v>12</v>
      </c>
      <c r="G312" s="149">
        <v>8424</v>
      </c>
    </row>
    <row r="313" spans="1:7" x14ac:dyDescent="0.25">
      <c r="A313" s="148" t="s">
        <v>1526</v>
      </c>
      <c r="B313" s="148" t="s">
        <v>1537</v>
      </c>
      <c r="C313" s="148" t="s">
        <v>1519</v>
      </c>
      <c r="D313" s="148" t="s">
        <v>1530</v>
      </c>
      <c r="E313" s="152">
        <v>40648</v>
      </c>
      <c r="F313" s="149">
        <v>12</v>
      </c>
      <c r="G313" s="149">
        <v>4980</v>
      </c>
    </row>
    <row r="314" spans="1:7" x14ac:dyDescent="0.25">
      <c r="A314" s="148" t="s">
        <v>1527</v>
      </c>
      <c r="B314" s="148" t="s">
        <v>1537</v>
      </c>
      <c r="C314" s="148" t="s">
        <v>1514</v>
      </c>
      <c r="D314" s="148" t="s">
        <v>1530</v>
      </c>
      <c r="E314" s="152">
        <v>40557</v>
      </c>
      <c r="F314" s="149">
        <v>12</v>
      </c>
      <c r="G314" s="149">
        <v>6984</v>
      </c>
    </row>
    <row r="315" spans="1:7" x14ac:dyDescent="0.25">
      <c r="A315" s="148" t="s">
        <v>1529</v>
      </c>
      <c r="B315" s="148" t="s">
        <v>1537</v>
      </c>
      <c r="C315" s="148" t="s">
        <v>1523</v>
      </c>
      <c r="D315" s="148" t="s">
        <v>1528</v>
      </c>
      <c r="E315" s="152">
        <v>40439</v>
      </c>
      <c r="F315" s="149">
        <v>12</v>
      </c>
      <c r="G315" s="149">
        <v>9192</v>
      </c>
    </row>
    <row r="316" spans="1:7" x14ac:dyDescent="0.25">
      <c r="A316" s="148" t="s">
        <v>1526</v>
      </c>
      <c r="B316" s="148" t="s">
        <v>1537</v>
      </c>
      <c r="C316" s="148" t="s">
        <v>1523</v>
      </c>
      <c r="D316" s="148" t="s">
        <v>1528</v>
      </c>
      <c r="E316" s="152">
        <v>40449</v>
      </c>
      <c r="F316" s="149">
        <v>12</v>
      </c>
      <c r="G316" s="149">
        <v>4188</v>
      </c>
    </row>
    <row r="317" spans="1:7" x14ac:dyDescent="0.25">
      <c r="A317" s="148" t="s">
        <v>1516</v>
      </c>
      <c r="B317" s="148" t="s">
        <v>1537</v>
      </c>
      <c r="C317" s="148" t="s">
        <v>1514</v>
      </c>
      <c r="D317" s="148" t="s">
        <v>1528</v>
      </c>
      <c r="E317" s="152">
        <v>40459</v>
      </c>
      <c r="F317" s="149">
        <v>12</v>
      </c>
      <c r="G317" s="149">
        <v>4488</v>
      </c>
    </row>
    <row r="318" spans="1:7" x14ac:dyDescent="0.25">
      <c r="A318" s="148" t="s">
        <v>1526</v>
      </c>
      <c r="B318" s="148" t="s">
        <v>1537</v>
      </c>
      <c r="C318" s="148" t="s">
        <v>1523</v>
      </c>
      <c r="D318" s="148" t="s">
        <v>1533</v>
      </c>
      <c r="E318" s="152">
        <v>40203</v>
      </c>
      <c r="F318" s="149">
        <v>13</v>
      </c>
      <c r="G318" s="153">
        <v>5083</v>
      </c>
    </row>
    <row r="319" spans="1:7" x14ac:dyDescent="0.25">
      <c r="A319" s="148" t="s">
        <v>1534</v>
      </c>
      <c r="B319" s="148" t="s">
        <v>1537</v>
      </c>
      <c r="C319" s="148" t="s">
        <v>1523</v>
      </c>
      <c r="D319" s="148" t="s">
        <v>1533</v>
      </c>
      <c r="E319" s="152">
        <v>40613</v>
      </c>
      <c r="F319" s="149">
        <v>13</v>
      </c>
      <c r="G319" s="149">
        <v>6669</v>
      </c>
    </row>
    <row r="320" spans="1:7" x14ac:dyDescent="0.25">
      <c r="A320" s="148" t="s">
        <v>1518</v>
      </c>
      <c r="B320" s="148" t="s">
        <v>1537</v>
      </c>
      <c r="C320" s="148" t="s">
        <v>1523</v>
      </c>
      <c r="D320" s="148" t="s">
        <v>1513</v>
      </c>
      <c r="E320" s="152">
        <v>40337</v>
      </c>
      <c r="F320" s="149">
        <v>13</v>
      </c>
      <c r="G320" s="149">
        <v>6994</v>
      </c>
    </row>
    <row r="321" spans="1:7" x14ac:dyDescent="0.25">
      <c r="A321" s="148" t="s">
        <v>1516</v>
      </c>
      <c r="B321" s="148" t="s">
        <v>1537</v>
      </c>
      <c r="C321" s="148" t="s">
        <v>1523</v>
      </c>
      <c r="D321" s="148" t="s">
        <v>1513</v>
      </c>
      <c r="E321" s="152">
        <v>40575</v>
      </c>
      <c r="F321" s="149">
        <v>13</v>
      </c>
      <c r="G321" s="149">
        <v>8125</v>
      </c>
    </row>
    <row r="322" spans="1:7" x14ac:dyDescent="0.25">
      <c r="A322" s="148" t="s">
        <v>1527</v>
      </c>
      <c r="B322" s="148" t="s">
        <v>1537</v>
      </c>
      <c r="C322" s="148" t="s">
        <v>1523</v>
      </c>
      <c r="D322" s="148" t="s">
        <v>1531</v>
      </c>
      <c r="E322" s="152">
        <v>40379</v>
      </c>
      <c r="F322" s="149">
        <v>13</v>
      </c>
      <c r="G322" s="149">
        <v>11648</v>
      </c>
    </row>
    <row r="323" spans="1:7" x14ac:dyDescent="0.25">
      <c r="A323" s="148" t="s">
        <v>1529</v>
      </c>
      <c r="B323" s="148" t="s">
        <v>1537</v>
      </c>
      <c r="C323" s="148" t="s">
        <v>1523</v>
      </c>
      <c r="D323" s="148" t="s">
        <v>1531</v>
      </c>
      <c r="E323" s="152">
        <v>40859</v>
      </c>
      <c r="F323" s="149">
        <v>13</v>
      </c>
      <c r="G323" s="149">
        <v>9516</v>
      </c>
    </row>
    <row r="324" spans="1:7" x14ac:dyDescent="0.25">
      <c r="A324" s="148" t="s">
        <v>1516</v>
      </c>
      <c r="B324" s="148" t="s">
        <v>1537</v>
      </c>
      <c r="C324" s="148" t="s">
        <v>1519</v>
      </c>
      <c r="D324" s="148" t="s">
        <v>1530</v>
      </c>
      <c r="E324" s="152">
        <v>40376</v>
      </c>
      <c r="F324" s="149">
        <v>13</v>
      </c>
      <c r="G324" s="149">
        <v>5915</v>
      </c>
    </row>
    <row r="325" spans="1:7" x14ac:dyDescent="0.25">
      <c r="A325" s="148" t="s">
        <v>1516</v>
      </c>
      <c r="B325" s="148" t="s">
        <v>1537</v>
      </c>
      <c r="C325" s="148" t="s">
        <v>1514</v>
      </c>
      <c r="D325" s="148" t="s">
        <v>1530</v>
      </c>
      <c r="E325" s="152">
        <v>40361</v>
      </c>
      <c r="F325" s="149">
        <v>13</v>
      </c>
      <c r="G325" s="149">
        <v>8086</v>
      </c>
    </row>
    <row r="326" spans="1:7" x14ac:dyDescent="0.25">
      <c r="A326" s="148" t="s">
        <v>1529</v>
      </c>
      <c r="B326" s="148" t="s">
        <v>1537</v>
      </c>
      <c r="C326" s="148" t="s">
        <v>1519</v>
      </c>
      <c r="D326" s="148" t="s">
        <v>1528</v>
      </c>
      <c r="E326" s="152">
        <v>40556</v>
      </c>
      <c r="F326" s="149">
        <v>13</v>
      </c>
      <c r="G326" s="149">
        <v>5512</v>
      </c>
    </row>
    <row r="327" spans="1:7" x14ac:dyDescent="0.25">
      <c r="A327" s="148" t="s">
        <v>1526</v>
      </c>
      <c r="B327" s="148" t="s">
        <v>1537</v>
      </c>
      <c r="C327" s="148" t="s">
        <v>1517</v>
      </c>
      <c r="D327" s="148" t="s">
        <v>1513</v>
      </c>
      <c r="E327" s="152">
        <v>40507</v>
      </c>
      <c r="F327" s="149">
        <v>14</v>
      </c>
      <c r="G327" s="149">
        <v>5754</v>
      </c>
    </row>
    <row r="328" spans="1:7" x14ac:dyDescent="0.25">
      <c r="A328" s="148" t="s">
        <v>1534</v>
      </c>
      <c r="B328" s="148" t="s">
        <v>1537</v>
      </c>
      <c r="C328" s="148" t="s">
        <v>1514</v>
      </c>
      <c r="D328" s="148" t="s">
        <v>1513</v>
      </c>
      <c r="E328" s="152">
        <v>40192</v>
      </c>
      <c r="F328" s="149">
        <v>14</v>
      </c>
      <c r="G328" s="149">
        <v>11550</v>
      </c>
    </row>
    <row r="329" spans="1:7" x14ac:dyDescent="0.25">
      <c r="A329" s="148" t="s">
        <v>1518</v>
      </c>
      <c r="B329" s="148" t="s">
        <v>1537</v>
      </c>
      <c r="C329" s="148" t="s">
        <v>1514</v>
      </c>
      <c r="D329" s="148" t="s">
        <v>1513</v>
      </c>
      <c r="E329" s="152">
        <v>40323</v>
      </c>
      <c r="F329" s="149">
        <v>14</v>
      </c>
      <c r="G329" s="149">
        <v>4522</v>
      </c>
    </row>
    <row r="330" spans="1:7" x14ac:dyDescent="0.25">
      <c r="A330" s="148" t="s">
        <v>1516</v>
      </c>
      <c r="B330" s="148" t="s">
        <v>1537</v>
      </c>
      <c r="C330" s="148" t="s">
        <v>1523</v>
      </c>
      <c r="D330" s="148" t="s">
        <v>1531</v>
      </c>
      <c r="E330" s="152">
        <v>40360</v>
      </c>
      <c r="F330" s="149">
        <v>14</v>
      </c>
      <c r="G330" s="149">
        <v>12138</v>
      </c>
    </row>
    <row r="331" spans="1:7" x14ac:dyDescent="0.25">
      <c r="A331" s="148" t="s">
        <v>1532</v>
      </c>
      <c r="B331" s="148" t="s">
        <v>1537</v>
      </c>
      <c r="C331" s="148" t="s">
        <v>1519</v>
      </c>
      <c r="D331" s="148" t="s">
        <v>1530</v>
      </c>
      <c r="E331" s="152">
        <v>40577</v>
      </c>
      <c r="F331" s="149">
        <v>14</v>
      </c>
      <c r="G331" s="149">
        <v>10528</v>
      </c>
    </row>
    <row r="332" spans="1:7" x14ac:dyDescent="0.25">
      <c r="A332" s="148" t="s">
        <v>1525</v>
      </c>
      <c r="B332" s="148" t="s">
        <v>1537</v>
      </c>
      <c r="C332" s="148" t="s">
        <v>1517</v>
      </c>
      <c r="D332" s="148" t="s">
        <v>1530</v>
      </c>
      <c r="E332" s="152">
        <v>40887</v>
      </c>
      <c r="F332" s="149">
        <v>14</v>
      </c>
      <c r="G332" s="149">
        <v>4704</v>
      </c>
    </row>
    <row r="333" spans="1:7" x14ac:dyDescent="0.25">
      <c r="A333" s="148" t="s">
        <v>1527</v>
      </c>
      <c r="B333" s="148" t="s">
        <v>1537</v>
      </c>
      <c r="C333" s="148" t="s">
        <v>1514</v>
      </c>
      <c r="D333" s="148" t="s">
        <v>1530</v>
      </c>
      <c r="E333" s="152">
        <v>40904</v>
      </c>
      <c r="F333" s="149">
        <v>14</v>
      </c>
      <c r="G333" s="149">
        <v>8190</v>
      </c>
    </row>
    <row r="334" spans="1:7" x14ac:dyDescent="0.25">
      <c r="A334" s="148" t="s">
        <v>1520</v>
      </c>
      <c r="B334" s="148" t="s">
        <v>1537</v>
      </c>
      <c r="C334" s="148" t="s">
        <v>1517</v>
      </c>
      <c r="D334" s="148" t="s">
        <v>1513</v>
      </c>
      <c r="E334" s="152">
        <v>40392</v>
      </c>
      <c r="F334" s="149">
        <v>15</v>
      </c>
      <c r="G334" s="149">
        <v>12285</v>
      </c>
    </row>
    <row r="335" spans="1:7" x14ac:dyDescent="0.25">
      <c r="A335" s="148" t="s">
        <v>1527</v>
      </c>
      <c r="B335" s="148" t="s">
        <v>1537</v>
      </c>
      <c r="C335" s="148" t="s">
        <v>1514</v>
      </c>
      <c r="D335" s="148" t="s">
        <v>1513</v>
      </c>
      <c r="E335" s="152">
        <v>40212</v>
      </c>
      <c r="F335" s="149">
        <v>15</v>
      </c>
      <c r="G335" s="149">
        <v>7770</v>
      </c>
    </row>
    <row r="336" spans="1:7" x14ac:dyDescent="0.25">
      <c r="A336" s="148" t="s">
        <v>1532</v>
      </c>
      <c r="B336" s="148" t="s">
        <v>1537</v>
      </c>
      <c r="C336" s="148" t="s">
        <v>1523</v>
      </c>
      <c r="D336" s="148" t="s">
        <v>1531</v>
      </c>
      <c r="E336" s="152">
        <v>40568</v>
      </c>
      <c r="F336" s="149">
        <v>15</v>
      </c>
      <c r="G336" s="149">
        <v>13020</v>
      </c>
    </row>
    <row r="337" spans="1:7" x14ac:dyDescent="0.25">
      <c r="A337" s="148" t="s">
        <v>1520</v>
      </c>
      <c r="B337" s="148" t="s">
        <v>1537</v>
      </c>
      <c r="C337" s="148" t="s">
        <v>1517</v>
      </c>
      <c r="D337" s="148" t="s">
        <v>1531</v>
      </c>
      <c r="E337" s="152">
        <v>40404</v>
      </c>
      <c r="F337" s="149">
        <v>15</v>
      </c>
      <c r="G337" s="149">
        <v>8505</v>
      </c>
    </row>
    <row r="338" spans="1:7" x14ac:dyDescent="0.25">
      <c r="A338" s="148" t="s">
        <v>1522</v>
      </c>
      <c r="B338" s="148" t="s">
        <v>1537</v>
      </c>
      <c r="C338" s="148" t="s">
        <v>1519</v>
      </c>
      <c r="D338" s="148" t="s">
        <v>1530</v>
      </c>
      <c r="E338" s="152">
        <v>40456</v>
      </c>
      <c r="F338" s="149">
        <v>15</v>
      </c>
      <c r="G338" s="149">
        <v>8535</v>
      </c>
    </row>
    <row r="339" spans="1:7" x14ac:dyDescent="0.25">
      <c r="A339" s="148" t="s">
        <v>1521</v>
      </c>
      <c r="B339" s="148" t="s">
        <v>1537</v>
      </c>
      <c r="C339" s="148" t="s">
        <v>1517</v>
      </c>
      <c r="D339" s="148" t="s">
        <v>1528</v>
      </c>
      <c r="E339" s="152">
        <v>40501</v>
      </c>
      <c r="F339" s="149">
        <v>15</v>
      </c>
      <c r="G339" s="149">
        <v>7695</v>
      </c>
    </row>
    <row r="340" spans="1:7" x14ac:dyDescent="0.25">
      <c r="A340" s="148" t="s">
        <v>1532</v>
      </c>
      <c r="B340" s="148" t="s">
        <v>1537</v>
      </c>
      <c r="C340" s="148" t="s">
        <v>1519</v>
      </c>
      <c r="D340" s="148" t="s">
        <v>1513</v>
      </c>
      <c r="E340" s="152">
        <v>40491</v>
      </c>
      <c r="F340" s="149">
        <v>16</v>
      </c>
      <c r="G340" s="149">
        <v>5536</v>
      </c>
    </row>
    <row r="341" spans="1:7" x14ac:dyDescent="0.25">
      <c r="A341" s="148" t="s">
        <v>1524</v>
      </c>
      <c r="B341" s="148" t="s">
        <v>1537</v>
      </c>
      <c r="C341" s="148" t="s">
        <v>1514</v>
      </c>
      <c r="D341" s="148" t="s">
        <v>1513</v>
      </c>
      <c r="E341" s="152">
        <v>40760</v>
      </c>
      <c r="F341" s="149">
        <v>16</v>
      </c>
      <c r="G341" s="149">
        <v>10688</v>
      </c>
    </row>
    <row r="342" spans="1:7" x14ac:dyDescent="0.25">
      <c r="A342" s="148" t="s">
        <v>1532</v>
      </c>
      <c r="B342" s="148" t="s">
        <v>1537</v>
      </c>
      <c r="C342" s="148" t="s">
        <v>1523</v>
      </c>
      <c r="D342" s="148" t="s">
        <v>1513</v>
      </c>
      <c r="E342" s="152">
        <v>40850</v>
      </c>
      <c r="F342" s="149">
        <v>17</v>
      </c>
      <c r="G342" s="149">
        <v>13872</v>
      </c>
    </row>
    <row r="343" spans="1:7" x14ac:dyDescent="0.25">
      <c r="A343" s="148" t="s">
        <v>1525</v>
      </c>
      <c r="B343" s="148" t="s">
        <v>1537</v>
      </c>
      <c r="C343" s="148" t="s">
        <v>1517</v>
      </c>
      <c r="D343" s="148" t="s">
        <v>1513</v>
      </c>
      <c r="E343" s="152">
        <v>40247</v>
      </c>
      <c r="F343" s="149">
        <v>17</v>
      </c>
      <c r="G343" s="149">
        <v>14195</v>
      </c>
    </row>
    <row r="344" spans="1:7" x14ac:dyDescent="0.25">
      <c r="A344" s="148" t="s">
        <v>1527</v>
      </c>
      <c r="B344" s="148" t="s">
        <v>1537</v>
      </c>
      <c r="C344" s="148" t="s">
        <v>1514</v>
      </c>
      <c r="D344" s="148" t="s">
        <v>1513</v>
      </c>
      <c r="E344" s="152">
        <v>40212</v>
      </c>
      <c r="F344" s="149">
        <v>17</v>
      </c>
      <c r="G344" s="149">
        <v>11407</v>
      </c>
    </row>
    <row r="345" spans="1:7" x14ac:dyDescent="0.25">
      <c r="A345" s="148" t="s">
        <v>1520</v>
      </c>
      <c r="B345" s="148" t="s">
        <v>1537</v>
      </c>
      <c r="C345" s="148" t="s">
        <v>1514</v>
      </c>
      <c r="D345" s="148" t="s">
        <v>1513</v>
      </c>
      <c r="E345" s="152">
        <v>40508</v>
      </c>
      <c r="F345" s="149">
        <v>17</v>
      </c>
      <c r="G345" s="149">
        <v>13651</v>
      </c>
    </row>
    <row r="346" spans="1:7" x14ac:dyDescent="0.25">
      <c r="A346" s="148" t="s">
        <v>1525</v>
      </c>
      <c r="B346" s="148" t="s">
        <v>1537</v>
      </c>
      <c r="C346" s="148" t="s">
        <v>1523</v>
      </c>
      <c r="D346" s="148" t="s">
        <v>1513</v>
      </c>
      <c r="E346" s="152">
        <v>40626</v>
      </c>
      <c r="F346" s="149">
        <v>18</v>
      </c>
      <c r="G346" s="149">
        <v>10260</v>
      </c>
    </row>
    <row r="347" spans="1:7" x14ac:dyDescent="0.25">
      <c r="A347" s="148" t="s">
        <v>1516</v>
      </c>
      <c r="B347" s="148" t="s">
        <v>1537</v>
      </c>
      <c r="C347" s="148" t="s">
        <v>1519</v>
      </c>
      <c r="D347" s="148" t="s">
        <v>1513</v>
      </c>
      <c r="E347" s="152">
        <v>40228</v>
      </c>
      <c r="F347" s="149">
        <v>18</v>
      </c>
      <c r="G347" s="149">
        <v>15858</v>
      </c>
    </row>
    <row r="348" spans="1:7" x14ac:dyDescent="0.25">
      <c r="A348" s="148" t="s">
        <v>1516</v>
      </c>
      <c r="B348" s="148" t="s">
        <v>1537</v>
      </c>
      <c r="C348" s="148" t="s">
        <v>1519</v>
      </c>
      <c r="D348" s="148" t="s">
        <v>1513</v>
      </c>
      <c r="E348" s="152">
        <v>40316</v>
      </c>
      <c r="F348" s="149">
        <v>18</v>
      </c>
      <c r="G348" s="149">
        <v>11214</v>
      </c>
    </row>
    <row r="349" spans="1:7" x14ac:dyDescent="0.25">
      <c r="A349" s="148" t="s">
        <v>1532</v>
      </c>
      <c r="B349" s="148" t="s">
        <v>1537</v>
      </c>
      <c r="C349" s="148" t="s">
        <v>1519</v>
      </c>
      <c r="D349" s="148" t="s">
        <v>1513</v>
      </c>
      <c r="E349" s="152">
        <v>40898</v>
      </c>
      <c r="F349" s="149">
        <v>18</v>
      </c>
      <c r="G349" s="149">
        <v>13464</v>
      </c>
    </row>
    <row r="350" spans="1:7" x14ac:dyDescent="0.25">
      <c r="A350" s="148" t="s">
        <v>1518</v>
      </c>
      <c r="B350" s="148" t="s">
        <v>1537</v>
      </c>
      <c r="C350" s="148" t="s">
        <v>1519</v>
      </c>
      <c r="D350" s="148" t="s">
        <v>1513</v>
      </c>
      <c r="E350" s="152">
        <v>40593</v>
      </c>
      <c r="F350" s="149">
        <v>19</v>
      </c>
      <c r="G350" s="149">
        <v>6536</v>
      </c>
    </row>
    <row r="351" spans="1:7" x14ac:dyDescent="0.25">
      <c r="A351" s="148" t="s">
        <v>1524</v>
      </c>
      <c r="B351" s="148" t="s">
        <v>1536</v>
      </c>
      <c r="C351" s="148" t="s">
        <v>1523</v>
      </c>
      <c r="D351" s="148" t="s">
        <v>1533</v>
      </c>
      <c r="E351" s="152">
        <v>40792</v>
      </c>
      <c r="F351" s="149">
        <v>1</v>
      </c>
      <c r="G351" s="149">
        <v>594</v>
      </c>
    </row>
    <row r="352" spans="1:7" x14ac:dyDescent="0.25">
      <c r="A352" s="148" t="s">
        <v>1521</v>
      </c>
      <c r="B352" s="148" t="s">
        <v>1536</v>
      </c>
      <c r="C352" s="148" t="s">
        <v>1519</v>
      </c>
      <c r="D352" s="148" t="s">
        <v>1533</v>
      </c>
      <c r="E352" s="152">
        <v>40820</v>
      </c>
      <c r="F352" s="149">
        <v>1</v>
      </c>
      <c r="G352" s="149">
        <v>312</v>
      </c>
    </row>
    <row r="353" spans="1:7" x14ac:dyDescent="0.25">
      <c r="A353" s="148" t="s">
        <v>1516</v>
      </c>
      <c r="B353" s="148" t="s">
        <v>1536</v>
      </c>
      <c r="C353" s="148" t="s">
        <v>1519</v>
      </c>
      <c r="D353" s="148" t="s">
        <v>1533</v>
      </c>
      <c r="E353" s="152">
        <v>40820</v>
      </c>
      <c r="F353" s="149">
        <v>1</v>
      </c>
      <c r="G353" s="149">
        <v>393</v>
      </c>
    </row>
    <row r="354" spans="1:7" x14ac:dyDescent="0.25">
      <c r="A354" s="148" t="s">
        <v>1534</v>
      </c>
      <c r="B354" s="148" t="s">
        <v>1536</v>
      </c>
      <c r="C354" s="148" t="s">
        <v>1517</v>
      </c>
      <c r="D354" s="148" t="s">
        <v>1533</v>
      </c>
      <c r="E354" s="152">
        <v>40652</v>
      </c>
      <c r="F354" s="149">
        <v>1</v>
      </c>
      <c r="G354" s="149">
        <v>328</v>
      </c>
    </row>
    <row r="355" spans="1:7" x14ac:dyDescent="0.25">
      <c r="A355" s="148" t="s">
        <v>1516</v>
      </c>
      <c r="B355" s="148" t="s">
        <v>1536</v>
      </c>
      <c r="C355" s="148" t="s">
        <v>1523</v>
      </c>
      <c r="D355" s="148" t="s">
        <v>1531</v>
      </c>
      <c r="E355" s="152">
        <v>40408</v>
      </c>
      <c r="F355" s="149">
        <v>1</v>
      </c>
      <c r="G355" s="149">
        <v>563</v>
      </c>
    </row>
    <row r="356" spans="1:7" x14ac:dyDescent="0.25">
      <c r="A356" s="148" t="s">
        <v>1524</v>
      </c>
      <c r="B356" s="148" t="s">
        <v>1536</v>
      </c>
      <c r="C356" s="148" t="s">
        <v>1523</v>
      </c>
      <c r="D356" s="148" t="s">
        <v>1531</v>
      </c>
      <c r="E356" s="152">
        <v>40522</v>
      </c>
      <c r="F356" s="149">
        <v>1</v>
      </c>
      <c r="G356" s="149">
        <v>443</v>
      </c>
    </row>
    <row r="357" spans="1:7" x14ac:dyDescent="0.25">
      <c r="A357" s="148" t="s">
        <v>1525</v>
      </c>
      <c r="B357" s="148" t="s">
        <v>1536</v>
      </c>
      <c r="C357" s="148" t="s">
        <v>1519</v>
      </c>
      <c r="D357" s="148" t="s">
        <v>1531</v>
      </c>
      <c r="E357" s="152">
        <v>40491</v>
      </c>
      <c r="F357" s="149">
        <v>1</v>
      </c>
      <c r="G357" s="149">
        <v>461</v>
      </c>
    </row>
    <row r="358" spans="1:7" x14ac:dyDescent="0.25">
      <c r="A358" s="148" t="s">
        <v>1527</v>
      </c>
      <c r="B358" s="148" t="s">
        <v>1536</v>
      </c>
      <c r="C358" s="148" t="s">
        <v>1519</v>
      </c>
      <c r="D358" s="148" t="s">
        <v>1531</v>
      </c>
      <c r="E358" s="152">
        <v>40870</v>
      </c>
      <c r="F358" s="149">
        <v>1</v>
      </c>
      <c r="G358" s="149">
        <v>558</v>
      </c>
    </row>
    <row r="359" spans="1:7" x14ac:dyDescent="0.25">
      <c r="A359" s="148" t="s">
        <v>1516</v>
      </c>
      <c r="B359" s="148" t="s">
        <v>1536</v>
      </c>
      <c r="C359" s="148" t="s">
        <v>1523</v>
      </c>
      <c r="D359" s="148" t="s">
        <v>1530</v>
      </c>
      <c r="E359" s="152">
        <v>40450</v>
      </c>
      <c r="F359" s="149">
        <v>1</v>
      </c>
      <c r="G359" s="149">
        <v>388</v>
      </c>
    </row>
    <row r="360" spans="1:7" x14ac:dyDescent="0.25">
      <c r="A360" s="148" t="s">
        <v>1526</v>
      </c>
      <c r="B360" s="148" t="s">
        <v>1536</v>
      </c>
      <c r="C360" s="148" t="s">
        <v>1523</v>
      </c>
      <c r="D360" s="148" t="s">
        <v>1530</v>
      </c>
      <c r="E360" s="152">
        <v>40838</v>
      </c>
      <c r="F360" s="149">
        <v>1</v>
      </c>
      <c r="G360" s="149">
        <v>569</v>
      </c>
    </row>
    <row r="361" spans="1:7" x14ac:dyDescent="0.25">
      <c r="A361" s="148" t="s">
        <v>1534</v>
      </c>
      <c r="B361" s="148" t="s">
        <v>1536</v>
      </c>
      <c r="C361" s="148" t="s">
        <v>1519</v>
      </c>
      <c r="D361" s="148" t="s">
        <v>1528</v>
      </c>
      <c r="E361" s="152">
        <v>40663</v>
      </c>
      <c r="F361" s="149">
        <v>1</v>
      </c>
      <c r="G361" s="149">
        <v>425</v>
      </c>
    </row>
    <row r="362" spans="1:7" x14ac:dyDescent="0.25">
      <c r="A362" s="148" t="s">
        <v>1522</v>
      </c>
      <c r="B362" s="148" t="s">
        <v>1536</v>
      </c>
      <c r="C362" s="148" t="s">
        <v>1514</v>
      </c>
      <c r="D362" s="148" t="s">
        <v>1528</v>
      </c>
      <c r="E362" s="152">
        <v>40553</v>
      </c>
      <c r="F362" s="149">
        <v>1</v>
      </c>
      <c r="G362" s="149">
        <v>438</v>
      </c>
    </row>
    <row r="363" spans="1:7" x14ac:dyDescent="0.25">
      <c r="A363" s="148" t="s">
        <v>1516</v>
      </c>
      <c r="B363" s="148" t="s">
        <v>1536</v>
      </c>
      <c r="C363" s="148" t="s">
        <v>1523</v>
      </c>
      <c r="D363" s="148" t="s">
        <v>1533</v>
      </c>
      <c r="E363" s="152">
        <v>40844</v>
      </c>
      <c r="F363" s="149">
        <v>2</v>
      </c>
      <c r="G363" s="149">
        <v>1352</v>
      </c>
    </row>
    <row r="364" spans="1:7" x14ac:dyDescent="0.25">
      <c r="A364" s="148" t="s">
        <v>1526</v>
      </c>
      <c r="B364" s="148" t="s">
        <v>1536</v>
      </c>
      <c r="C364" s="148" t="s">
        <v>1517</v>
      </c>
      <c r="D364" s="148" t="s">
        <v>1533</v>
      </c>
      <c r="E364" s="152">
        <v>40505</v>
      </c>
      <c r="F364" s="149">
        <v>2</v>
      </c>
      <c r="G364" s="149">
        <v>928</v>
      </c>
    </row>
    <row r="365" spans="1:7" x14ac:dyDescent="0.25">
      <c r="A365" s="148" t="s">
        <v>1521</v>
      </c>
      <c r="B365" s="148" t="s">
        <v>1536</v>
      </c>
      <c r="C365" s="148" t="s">
        <v>1517</v>
      </c>
      <c r="D365" s="148" t="s">
        <v>1533</v>
      </c>
      <c r="E365" s="152">
        <v>40744</v>
      </c>
      <c r="F365" s="149">
        <v>2</v>
      </c>
      <c r="G365" s="149">
        <v>1316</v>
      </c>
    </row>
    <row r="366" spans="1:7" x14ac:dyDescent="0.25">
      <c r="A366" s="148" t="s">
        <v>1524</v>
      </c>
      <c r="B366" s="148" t="s">
        <v>1536</v>
      </c>
      <c r="C366" s="148" t="s">
        <v>1514</v>
      </c>
      <c r="D366" s="148" t="s">
        <v>1533</v>
      </c>
      <c r="E366" s="152">
        <v>40744</v>
      </c>
      <c r="F366" s="149">
        <v>2</v>
      </c>
      <c r="G366" s="149">
        <v>686</v>
      </c>
    </row>
    <row r="367" spans="1:7" x14ac:dyDescent="0.25">
      <c r="A367" s="148" t="s">
        <v>1516</v>
      </c>
      <c r="B367" s="148" t="s">
        <v>1536</v>
      </c>
      <c r="C367" s="148" t="s">
        <v>1519</v>
      </c>
      <c r="D367" s="148" t="s">
        <v>1531</v>
      </c>
      <c r="E367" s="152">
        <v>40406</v>
      </c>
      <c r="F367" s="149">
        <v>2</v>
      </c>
      <c r="G367" s="149">
        <v>986</v>
      </c>
    </row>
    <row r="368" spans="1:7" x14ac:dyDescent="0.25">
      <c r="A368" s="148" t="s">
        <v>1518</v>
      </c>
      <c r="B368" s="148" t="s">
        <v>1536</v>
      </c>
      <c r="C368" s="148" t="s">
        <v>1523</v>
      </c>
      <c r="D368" s="148" t="s">
        <v>1530</v>
      </c>
      <c r="E368" s="152">
        <v>40470</v>
      </c>
      <c r="F368" s="149">
        <v>2</v>
      </c>
      <c r="G368" s="149">
        <v>840</v>
      </c>
    </row>
    <row r="369" spans="1:7" x14ac:dyDescent="0.25">
      <c r="A369" s="148" t="s">
        <v>1520</v>
      </c>
      <c r="B369" s="148" t="s">
        <v>1536</v>
      </c>
      <c r="C369" s="148" t="s">
        <v>1523</v>
      </c>
      <c r="D369" s="148" t="s">
        <v>1530</v>
      </c>
      <c r="E369" s="152">
        <v>40483</v>
      </c>
      <c r="F369" s="149">
        <v>2</v>
      </c>
      <c r="G369" s="149">
        <v>674</v>
      </c>
    </row>
    <row r="370" spans="1:7" x14ac:dyDescent="0.25">
      <c r="A370" s="148" t="s">
        <v>1521</v>
      </c>
      <c r="B370" s="148" t="s">
        <v>1536</v>
      </c>
      <c r="C370" s="148" t="s">
        <v>1519</v>
      </c>
      <c r="D370" s="148" t="s">
        <v>1530</v>
      </c>
      <c r="E370" s="152">
        <v>40772</v>
      </c>
      <c r="F370" s="149">
        <v>2</v>
      </c>
      <c r="G370" s="149">
        <v>938</v>
      </c>
    </row>
    <row r="371" spans="1:7" x14ac:dyDescent="0.25">
      <c r="A371" s="148" t="s">
        <v>1516</v>
      </c>
      <c r="B371" s="148" t="s">
        <v>1536</v>
      </c>
      <c r="C371" s="148" t="s">
        <v>1519</v>
      </c>
      <c r="D371" s="148" t="s">
        <v>1528</v>
      </c>
      <c r="E371" s="152">
        <v>40675</v>
      </c>
      <c r="F371" s="149">
        <v>2</v>
      </c>
      <c r="G371" s="149">
        <v>1398</v>
      </c>
    </row>
    <row r="372" spans="1:7" x14ac:dyDescent="0.25">
      <c r="A372" s="148" t="s">
        <v>1525</v>
      </c>
      <c r="B372" s="148" t="s">
        <v>1536</v>
      </c>
      <c r="C372" s="148" t="s">
        <v>1523</v>
      </c>
      <c r="D372" s="148" t="s">
        <v>1533</v>
      </c>
      <c r="E372" s="152">
        <v>40898</v>
      </c>
      <c r="F372" s="149">
        <v>3</v>
      </c>
      <c r="G372" s="149">
        <v>1149</v>
      </c>
    </row>
    <row r="373" spans="1:7" x14ac:dyDescent="0.25">
      <c r="A373" s="148" t="s">
        <v>1529</v>
      </c>
      <c r="B373" s="148" t="s">
        <v>1536</v>
      </c>
      <c r="C373" s="148" t="s">
        <v>1519</v>
      </c>
      <c r="D373" s="148" t="s">
        <v>1533</v>
      </c>
      <c r="E373" s="152">
        <v>40183</v>
      </c>
      <c r="F373" s="149">
        <v>3</v>
      </c>
      <c r="G373" s="153">
        <v>1281</v>
      </c>
    </row>
    <row r="374" spans="1:7" x14ac:dyDescent="0.25">
      <c r="A374" s="148" t="s">
        <v>1527</v>
      </c>
      <c r="B374" s="148" t="s">
        <v>1536</v>
      </c>
      <c r="C374" s="148" t="s">
        <v>1519</v>
      </c>
      <c r="D374" s="148" t="s">
        <v>1533</v>
      </c>
      <c r="E374" s="152">
        <v>40508</v>
      </c>
      <c r="F374" s="149">
        <v>3</v>
      </c>
      <c r="G374" s="149">
        <v>1827</v>
      </c>
    </row>
    <row r="375" spans="1:7" x14ac:dyDescent="0.25">
      <c r="A375" s="148" t="s">
        <v>1532</v>
      </c>
      <c r="B375" s="148" t="s">
        <v>1536</v>
      </c>
      <c r="C375" s="148" t="s">
        <v>1519</v>
      </c>
      <c r="D375" s="148" t="s">
        <v>1531</v>
      </c>
      <c r="E375" s="152">
        <v>40789</v>
      </c>
      <c r="F375" s="149">
        <v>3</v>
      </c>
      <c r="G375" s="149">
        <v>1524</v>
      </c>
    </row>
    <row r="376" spans="1:7" x14ac:dyDescent="0.25">
      <c r="A376" s="148" t="s">
        <v>1521</v>
      </c>
      <c r="B376" s="148" t="s">
        <v>1536</v>
      </c>
      <c r="C376" s="148" t="s">
        <v>1517</v>
      </c>
      <c r="D376" s="148" t="s">
        <v>1531</v>
      </c>
      <c r="E376" s="152">
        <v>40667</v>
      </c>
      <c r="F376" s="149">
        <v>3</v>
      </c>
      <c r="G376" s="149">
        <v>1956</v>
      </c>
    </row>
    <row r="377" spans="1:7" x14ac:dyDescent="0.25">
      <c r="A377" s="148" t="s">
        <v>1516</v>
      </c>
      <c r="B377" s="148" t="s">
        <v>1536</v>
      </c>
      <c r="C377" s="148" t="s">
        <v>1517</v>
      </c>
      <c r="D377" s="148" t="s">
        <v>1531</v>
      </c>
      <c r="E377" s="152">
        <v>40718</v>
      </c>
      <c r="F377" s="149">
        <v>3</v>
      </c>
      <c r="G377" s="149">
        <v>1977</v>
      </c>
    </row>
    <row r="378" spans="1:7" x14ac:dyDescent="0.25">
      <c r="A378" s="148" t="s">
        <v>1532</v>
      </c>
      <c r="B378" s="148" t="s">
        <v>1536</v>
      </c>
      <c r="C378" s="148" t="s">
        <v>1523</v>
      </c>
      <c r="D378" s="148" t="s">
        <v>1530</v>
      </c>
      <c r="E378" s="152">
        <v>40276</v>
      </c>
      <c r="F378" s="149">
        <v>3</v>
      </c>
      <c r="G378" s="149">
        <v>990</v>
      </c>
    </row>
    <row r="379" spans="1:7" x14ac:dyDescent="0.25">
      <c r="A379" s="148" t="s">
        <v>1534</v>
      </c>
      <c r="B379" s="148" t="s">
        <v>1536</v>
      </c>
      <c r="C379" s="148" t="s">
        <v>1514</v>
      </c>
      <c r="D379" s="148" t="s">
        <v>1530</v>
      </c>
      <c r="E379" s="152">
        <v>40864</v>
      </c>
      <c r="F379" s="149">
        <v>3</v>
      </c>
      <c r="G379" s="149">
        <v>1920</v>
      </c>
    </row>
    <row r="380" spans="1:7" x14ac:dyDescent="0.25">
      <c r="A380" s="148" t="s">
        <v>1522</v>
      </c>
      <c r="B380" s="148" t="s">
        <v>1536</v>
      </c>
      <c r="C380" s="148" t="s">
        <v>1523</v>
      </c>
      <c r="D380" s="148" t="s">
        <v>1528</v>
      </c>
      <c r="E380" s="152">
        <v>40501</v>
      </c>
      <c r="F380" s="149">
        <v>3</v>
      </c>
      <c r="G380" s="149">
        <v>1521</v>
      </c>
    </row>
    <row r="381" spans="1:7" x14ac:dyDescent="0.25">
      <c r="A381" s="148" t="s">
        <v>1521</v>
      </c>
      <c r="B381" s="148" t="s">
        <v>1536</v>
      </c>
      <c r="C381" s="148" t="s">
        <v>1519</v>
      </c>
      <c r="D381" s="148" t="s">
        <v>1528</v>
      </c>
      <c r="E381" s="152">
        <v>40414</v>
      </c>
      <c r="F381" s="149">
        <v>3</v>
      </c>
      <c r="G381" s="149">
        <v>1044</v>
      </c>
    </row>
    <row r="382" spans="1:7" x14ac:dyDescent="0.25">
      <c r="A382" s="148" t="s">
        <v>1524</v>
      </c>
      <c r="B382" s="148" t="s">
        <v>1536</v>
      </c>
      <c r="C382" s="148" t="s">
        <v>1519</v>
      </c>
      <c r="D382" s="148" t="s">
        <v>1528</v>
      </c>
      <c r="E382" s="152">
        <v>40728</v>
      </c>
      <c r="F382" s="149">
        <v>3</v>
      </c>
      <c r="G382" s="149">
        <v>1473</v>
      </c>
    </row>
    <row r="383" spans="1:7" x14ac:dyDescent="0.25">
      <c r="A383" s="148" t="s">
        <v>1534</v>
      </c>
      <c r="B383" s="148" t="s">
        <v>1536</v>
      </c>
      <c r="C383" s="148" t="s">
        <v>1517</v>
      </c>
      <c r="D383" s="148" t="s">
        <v>1528</v>
      </c>
      <c r="E383" s="152">
        <v>40539</v>
      </c>
      <c r="F383" s="149">
        <v>3</v>
      </c>
      <c r="G383" s="149">
        <v>1857</v>
      </c>
    </row>
    <row r="384" spans="1:7" x14ac:dyDescent="0.25">
      <c r="A384" s="148" t="s">
        <v>1532</v>
      </c>
      <c r="B384" s="148" t="s">
        <v>1536</v>
      </c>
      <c r="C384" s="148" t="s">
        <v>1517</v>
      </c>
      <c r="D384" s="148" t="s">
        <v>1528</v>
      </c>
      <c r="E384" s="152">
        <v>40865</v>
      </c>
      <c r="F384" s="149">
        <v>3</v>
      </c>
      <c r="G384" s="149">
        <v>1728</v>
      </c>
    </row>
    <row r="385" spans="1:7" x14ac:dyDescent="0.25">
      <c r="A385" s="148" t="s">
        <v>1529</v>
      </c>
      <c r="B385" s="148" t="s">
        <v>1536</v>
      </c>
      <c r="C385" s="148" t="s">
        <v>1523</v>
      </c>
      <c r="D385" s="148" t="s">
        <v>1533</v>
      </c>
      <c r="E385" s="152">
        <v>40238</v>
      </c>
      <c r="F385" s="149">
        <v>4</v>
      </c>
      <c r="G385" s="153">
        <v>2632</v>
      </c>
    </row>
    <row r="386" spans="1:7" x14ac:dyDescent="0.25">
      <c r="A386" s="148" t="s">
        <v>1520</v>
      </c>
      <c r="B386" s="148" t="s">
        <v>1536</v>
      </c>
      <c r="C386" s="148" t="s">
        <v>1517</v>
      </c>
      <c r="D386" s="148" t="s">
        <v>1533</v>
      </c>
      <c r="E386" s="152">
        <v>40319</v>
      </c>
      <c r="F386" s="149">
        <v>4</v>
      </c>
      <c r="G386" s="149">
        <v>1852</v>
      </c>
    </row>
    <row r="387" spans="1:7" x14ac:dyDescent="0.25">
      <c r="A387" s="148" t="s">
        <v>1527</v>
      </c>
      <c r="B387" s="148" t="s">
        <v>1536</v>
      </c>
      <c r="C387" s="148" t="s">
        <v>1514</v>
      </c>
      <c r="D387" s="148" t="s">
        <v>1533</v>
      </c>
      <c r="E387" s="152">
        <v>40499</v>
      </c>
      <c r="F387" s="149">
        <v>4</v>
      </c>
      <c r="G387" s="149">
        <v>1884</v>
      </c>
    </row>
    <row r="388" spans="1:7" x14ac:dyDescent="0.25">
      <c r="A388" s="148" t="s">
        <v>1518</v>
      </c>
      <c r="B388" s="148" t="s">
        <v>1536</v>
      </c>
      <c r="C388" s="148" t="s">
        <v>1514</v>
      </c>
      <c r="D388" s="148" t="s">
        <v>1533</v>
      </c>
      <c r="E388" s="152">
        <v>40572</v>
      </c>
      <c r="F388" s="149">
        <v>4</v>
      </c>
      <c r="G388" s="149">
        <v>1240</v>
      </c>
    </row>
    <row r="389" spans="1:7" x14ac:dyDescent="0.25">
      <c r="A389" s="148" t="s">
        <v>1520</v>
      </c>
      <c r="B389" s="148" t="s">
        <v>1536</v>
      </c>
      <c r="C389" s="148" t="s">
        <v>1514</v>
      </c>
      <c r="D389" s="148" t="s">
        <v>1533</v>
      </c>
      <c r="E389" s="152">
        <v>40890</v>
      </c>
      <c r="F389" s="149">
        <v>4</v>
      </c>
      <c r="G389" s="149">
        <v>2436</v>
      </c>
    </row>
    <row r="390" spans="1:7" x14ac:dyDescent="0.25">
      <c r="A390" s="148" t="s">
        <v>1518</v>
      </c>
      <c r="B390" s="148" t="s">
        <v>1536</v>
      </c>
      <c r="C390" s="148" t="s">
        <v>1523</v>
      </c>
      <c r="D390" s="148" t="s">
        <v>1531</v>
      </c>
      <c r="E390" s="152">
        <v>40694</v>
      </c>
      <c r="F390" s="149">
        <v>4</v>
      </c>
      <c r="G390" s="149">
        <v>2144</v>
      </c>
    </row>
    <row r="391" spans="1:7" x14ac:dyDescent="0.25">
      <c r="A391" s="148" t="s">
        <v>1526</v>
      </c>
      <c r="B391" s="148" t="s">
        <v>1536</v>
      </c>
      <c r="C391" s="148" t="s">
        <v>1523</v>
      </c>
      <c r="D391" s="148" t="s">
        <v>1531</v>
      </c>
      <c r="E391" s="152">
        <v>40737</v>
      </c>
      <c r="F391" s="149">
        <v>4</v>
      </c>
      <c r="G391" s="149">
        <v>1360</v>
      </c>
    </row>
    <row r="392" spans="1:7" x14ac:dyDescent="0.25">
      <c r="A392" s="148" t="s">
        <v>1527</v>
      </c>
      <c r="B392" s="148" t="s">
        <v>1536</v>
      </c>
      <c r="C392" s="148" t="s">
        <v>1519</v>
      </c>
      <c r="D392" s="148" t="s">
        <v>1530</v>
      </c>
      <c r="E392" s="152">
        <v>40456</v>
      </c>
      <c r="F392" s="149">
        <v>4</v>
      </c>
      <c r="G392" s="149">
        <v>2108</v>
      </c>
    </row>
    <row r="393" spans="1:7" x14ac:dyDescent="0.25">
      <c r="A393" s="148" t="s">
        <v>1518</v>
      </c>
      <c r="B393" s="148" t="s">
        <v>1536</v>
      </c>
      <c r="C393" s="148" t="s">
        <v>1519</v>
      </c>
      <c r="D393" s="148" t="s">
        <v>1530</v>
      </c>
      <c r="E393" s="152">
        <v>40548</v>
      </c>
      <c r="F393" s="149">
        <v>4</v>
      </c>
      <c r="G393" s="149">
        <v>2348</v>
      </c>
    </row>
    <row r="394" spans="1:7" x14ac:dyDescent="0.25">
      <c r="A394" s="148" t="s">
        <v>1516</v>
      </c>
      <c r="B394" s="148" t="s">
        <v>1536</v>
      </c>
      <c r="C394" s="148" t="s">
        <v>1519</v>
      </c>
      <c r="D394" s="148" t="s">
        <v>1530</v>
      </c>
      <c r="E394" s="152">
        <v>40732</v>
      </c>
      <c r="F394" s="149">
        <v>4</v>
      </c>
      <c r="G394" s="149">
        <v>2292</v>
      </c>
    </row>
    <row r="395" spans="1:7" x14ac:dyDescent="0.25">
      <c r="A395" s="148" t="s">
        <v>1522</v>
      </c>
      <c r="B395" s="148" t="s">
        <v>1536</v>
      </c>
      <c r="C395" s="148" t="s">
        <v>1517</v>
      </c>
      <c r="D395" s="148" t="s">
        <v>1530</v>
      </c>
      <c r="E395" s="152">
        <v>40541</v>
      </c>
      <c r="F395" s="149">
        <v>4</v>
      </c>
      <c r="G395" s="149">
        <v>2564</v>
      </c>
    </row>
    <row r="396" spans="1:7" x14ac:dyDescent="0.25">
      <c r="A396" s="148" t="s">
        <v>1529</v>
      </c>
      <c r="B396" s="148" t="s">
        <v>1536</v>
      </c>
      <c r="C396" s="148" t="s">
        <v>1514</v>
      </c>
      <c r="D396" s="148" t="s">
        <v>1528</v>
      </c>
      <c r="E396" s="152">
        <v>40430</v>
      </c>
      <c r="F396" s="149">
        <v>4</v>
      </c>
      <c r="G396" s="149">
        <v>1244</v>
      </c>
    </row>
    <row r="397" spans="1:7" x14ac:dyDescent="0.25">
      <c r="A397" s="148" t="s">
        <v>1529</v>
      </c>
      <c r="B397" s="148" t="s">
        <v>1536</v>
      </c>
      <c r="C397" s="148" t="s">
        <v>1514</v>
      </c>
      <c r="D397" s="148" t="s">
        <v>1528</v>
      </c>
      <c r="E397" s="152">
        <v>40446</v>
      </c>
      <c r="F397" s="149">
        <v>4</v>
      </c>
      <c r="G397" s="149">
        <v>1352</v>
      </c>
    </row>
    <row r="398" spans="1:7" x14ac:dyDescent="0.25">
      <c r="A398" s="148" t="s">
        <v>1526</v>
      </c>
      <c r="B398" s="148" t="s">
        <v>1536</v>
      </c>
      <c r="C398" s="148" t="s">
        <v>1523</v>
      </c>
      <c r="D398" s="148" t="s">
        <v>1533</v>
      </c>
      <c r="E398" s="152">
        <v>40351</v>
      </c>
      <c r="F398" s="149">
        <v>5</v>
      </c>
      <c r="G398" s="149">
        <v>2505</v>
      </c>
    </row>
    <row r="399" spans="1:7" x14ac:dyDescent="0.25">
      <c r="A399" s="148" t="s">
        <v>1518</v>
      </c>
      <c r="B399" s="148" t="s">
        <v>1536</v>
      </c>
      <c r="C399" s="148" t="s">
        <v>1519</v>
      </c>
      <c r="D399" s="148" t="s">
        <v>1530</v>
      </c>
      <c r="E399" s="152">
        <v>40498</v>
      </c>
      <c r="F399" s="149">
        <v>5</v>
      </c>
      <c r="G399" s="149">
        <v>2285</v>
      </c>
    </row>
    <row r="400" spans="1:7" x14ac:dyDescent="0.25">
      <c r="A400" s="148" t="s">
        <v>1526</v>
      </c>
      <c r="B400" s="148" t="s">
        <v>1536</v>
      </c>
      <c r="C400" s="148" t="s">
        <v>1523</v>
      </c>
      <c r="D400" s="148" t="s">
        <v>1528</v>
      </c>
      <c r="E400" s="152">
        <v>40757</v>
      </c>
      <c r="F400" s="149">
        <v>5</v>
      </c>
      <c r="G400" s="149">
        <v>1590</v>
      </c>
    </row>
    <row r="401" spans="1:7" x14ac:dyDescent="0.25">
      <c r="A401" s="148" t="s">
        <v>1518</v>
      </c>
      <c r="B401" s="148" t="s">
        <v>1536</v>
      </c>
      <c r="C401" s="148" t="s">
        <v>1523</v>
      </c>
      <c r="D401" s="148" t="s">
        <v>1528</v>
      </c>
      <c r="E401" s="152">
        <v>40767</v>
      </c>
      <c r="F401" s="149">
        <v>5</v>
      </c>
      <c r="G401" s="149">
        <v>2705</v>
      </c>
    </row>
    <row r="402" spans="1:7" x14ac:dyDescent="0.25">
      <c r="A402" s="148" t="s">
        <v>1534</v>
      </c>
      <c r="B402" s="148" t="s">
        <v>1536</v>
      </c>
      <c r="C402" s="148" t="s">
        <v>1519</v>
      </c>
      <c r="D402" s="148" t="s">
        <v>1528</v>
      </c>
      <c r="E402" s="152">
        <v>40890</v>
      </c>
      <c r="F402" s="149">
        <v>5</v>
      </c>
      <c r="G402" s="149">
        <v>3300</v>
      </c>
    </row>
    <row r="403" spans="1:7" x14ac:dyDescent="0.25">
      <c r="A403" s="148" t="s">
        <v>1526</v>
      </c>
      <c r="B403" s="148" t="s">
        <v>1536</v>
      </c>
      <c r="C403" s="148" t="s">
        <v>1517</v>
      </c>
      <c r="D403" s="148" t="s">
        <v>1528</v>
      </c>
      <c r="E403" s="152">
        <v>40520</v>
      </c>
      <c r="F403" s="149">
        <v>5</v>
      </c>
      <c r="G403" s="149">
        <v>2935</v>
      </c>
    </row>
    <row r="404" spans="1:7" x14ac:dyDescent="0.25">
      <c r="A404" s="148" t="s">
        <v>1525</v>
      </c>
      <c r="B404" s="148" t="s">
        <v>1536</v>
      </c>
      <c r="C404" s="148" t="s">
        <v>1519</v>
      </c>
      <c r="D404" s="148" t="s">
        <v>1533</v>
      </c>
      <c r="E404" s="152">
        <v>40344</v>
      </c>
      <c r="F404" s="149">
        <v>6</v>
      </c>
      <c r="G404" s="149">
        <v>3168</v>
      </c>
    </row>
    <row r="405" spans="1:7" x14ac:dyDescent="0.25">
      <c r="A405" s="148" t="s">
        <v>1527</v>
      </c>
      <c r="B405" s="148" t="s">
        <v>1536</v>
      </c>
      <c r="C405" s="148" t="s">
        <v>1519</v>
      </c>
      <c r="D405" s="148" t="s">
        <v>1533</v>
      </c>
      <c r="E405" s="152">
        <v>40808</v>
      </c>
      <c r="F405" s="149">
        <v>6</v>
      </c>
      <c r="G405" s="149">
        <v>3180</v>
      </c>
    </row>
    <row r="406" spans="1:7" x14ac:dyDescent="0.25">
      <c r="A406" s="148" t="s">
        <v>1525</v>
      </c>
      <c r="B406" s="148" t="s">
        <v>1536</v>
      </c>
      <c r="C406" s="148" t="s">
        <v>1519</v>
      </c>
      <c r="D406" s="148" t="s">
        <v>1513</v>
      </c>
      <c r="E406" s="152">
        <v>40323</v>
      </c>
      <c r="F406" s="149">
        <v>6</v>
      </c>
      <c r="G406" s="149">
        <v>3876</v>
      </c>
    </row>
    <row r="407" spans="1:7" x14ac:dyDescent="0.25">
      <c r="A407" s="148" t="s">
        <v>1529</v>
      </c>
      <c r="B407" s="148" t="s">
        <v>1536</v>
      </c>
      <c r="C407" s="148" t="s">
        <v>1519</v>
      </c>
      <c r="D407" s="148" t="s">
        <v>1513</v>
      </c>
      <c r="E407" s="152">
        <v>40887</v>
      </c>
      <c r="F407" s="149">
        <v>6</v>
      </c>
      <c r="G407" s="149">
        <v>2046</v>
      </c>
    </row>
    <row r="408" spans="1:7" x14ac:dyDescent="0.25">
      <c r="A408" s="148" t="s">
        <v>1529</v>
      </c>
      <c r="B408" s="148" t="s">
        <v>1536</v>
      </c>
      <c r="C408" s="148" t="s">
        <v>1517</v>
      </c>
      <c r="D408" s="148" t="s">
        <v>1513</v>
      </c>
      <c r="E408" s="152">
        <v>40551</v>
      </c>
      <c r="F408" s="149">
        <v>6</v>
      </c>
      <c r="G408" s="149">
        <v>3792</v>
      </c>
    </row>
    <row r="409" spans="1:7" x14ac:dyDescent="0.25">
      <c r="A409" s="148" t="s">
        <v>1527</v>
      </c>
      <c r="B409" s="148" t="s">
        <v>1536</v>
      </c>
      <c r="C409" s="148" t="s">
        <v>1514</v>
      </c>
      <c r="D409" s="148" t="s">
        <v>1513</v>
      </c>
      <c r="E409" s="152">
        <v>40697</v>
      </c>
      <c r="F409" s="149">
        <v>6</v>
      </c>
      <c r="G409" s="149">
        <v>3150</v>
      </c>
    </row>
    <row r="410" spans="1:7" x14ac:dyDescent="0.25">
      <c r="A410" s="148" t="s">
        <v>1524</v>
      </c>
      <c r="B410" s="148" t="s">
        <v>1536</v>
      </c>
      <c r="C410" s="148" t="s">
        <v>1514</v>
      </c>
      <c r="D410" s="148" t="s">
        <v>1513</v>
      </c>
      <c r="E410" s="152">
        <v>40821</v>
      </c>
      <c r="F410" s="149">
        <v>6</v>
      </c>
      <c r="G410" s="149">
        <v>1842</v>
      </c>
    </row>
    <row r="411" spans="1:7" x14ac:dyDescent="0.25">
      <c r="A411" s="148" t="s">
        <v>1526</v>
      </c>
      <c r="B411" s="148" t="s">
        <v>1536</v>
      </c>
      <c r="C411" s="148" t="s">
        <v>1523</v>
      </c>
      <c r="D411" s="148" t="s">
        <v>1531</v>
      </c>
      <c r="E411" s="152">
        <v>40792</v>
      </c>
      <c r="F411" s="149">
        <v>6</v>
      </c>
      <c r="G411" s="149">
        <v>1896</v>
      </c>
    </row>
    <row r="412" spans="1:7" x14ac:dyDescent="0.25">
      <c r="A412" s="148" t="s">
        <v>1532</v>
      </c>
      <c r="B412" s="148" t="s">
        <v>1536</v>
      </c>
      <c r="C412" s="148" t="s">
        <v>1519</v>
      </c>
      <c r="D412" s="148" t="s">
        <v>1531</v>
      </c>
      <c r="E412" s="152">
        <v>40550</v>
      </c>
      <c r="F412" s="149">
        <v>6</v>
      </c>
      <c r="G412" s="149">
        <v>3642</v>
      </c>
    </row>
    <row r="413" spans="1:7" x14ac:dyDescent="0.25">
      <c r="A413" s="148" t="s">
        <v>1534</v>
      </c>
      <c r="B413" s="148" t="s">
        <v>1536</v>
      </c>
      <c r="C413" s="148" t="s">
        <v>1519</v>
      </c>
      <c r="D413" s="148" t="s">
        <v>1531</v>
      </c>
      <c r="E413" s="152">
        <v>40681</v>
      </c>
      <c r="F413" s="149">
        <v>6</v>
      </c>
      <c r="G413" s="149">
        <v>1860</v>
      </c>
    </row>
    <row r="414" spans="1:7" x14ac:dyDescent="0.25">
      <c r="A414" s="148" t="s">
        <v>1527</v>
      </c>
      <c r="B414" s="148" t="s">
        <v>1536</v>
      </c>
      <c r="C414" s="148" t="s">
        <v>1514</v>
      </c>
      <c r="D414" s="148" t="s">
        <v>1531</v>
      </c>
      <c r="E414" s="152">
        <v>40858</v>
      </c>
      <c r="F414" s="149">
        <v>6</v>
      </c>
      <c r="G414" s="149">
        <v>2772</v>
      </c>
    </row>
    <row r="415" spans="1:7" x14ac:dyDescent="0.25">
      <c r="A415" s="148" t="s">
        <v>1529</v>
      </c>
      <c r="B415" s="148" t="s">
        <v>1536</v>
      </c>
      <c r="C415" s="148" t="s">
        <v>1514</v>
      </c>
      <c r="D415" s="148" t="s">
        <v>1531</v>
      </c>
      <c r="E415" s="152">
        <v>40889</v>
      </c>
      <c r="F415" s="149">
        <v>6</v>
      </c>
      <c r="G415" s="149">
        <v>2052</v>
      </c>
    </row>
    <row r="416" spans="1:7" x14ac:dyDescent="0.25">
      <c r="A416" s="148" t="s">
        <v>1529</v>
      </c>
      <c r="B416" s="148" t="s">
        <v>1536</v>
      </c>
      <c r="C416" s="148" t="s">
        <v>1517</v>
      </c>
      <c r="D416" s="148" t="s">
        <v>1530</v>
      </c>
      <c r="E416" s="152">
        <v>40452</v>
      </c>
      <c r="F416" s="149">
        <v>6</v>
      </c>
      <c r="G416" s="149">
        <v>1890</v>
      </c>
    </row>
    <row r="417" spans="1:7" x14ac:dyDescent="0.25">
      <c r="A417" s="148" t="s">
        <v>1527</v>
      </c>
      <c r="B417" s="148" t="s">
        <v>1536</v>
      </c>
      <c r="C417" s="148" t="s">
        <v>1523</v>
      </c>
      <c r="D417" s="148" t="s">
        <v>1528</v>
      </c>
      <c r="E417" s="152">
        <v>40576</v>
      </c>
      <c r="F417" s="149">
        <v>6</v>
      </c>
      <c r="G417" s="149">
        <v>2814</v>
      </c>
    </row>
    <row r="418" spans="1:7" x14ac:dyDescent="0.25">
      <c r="A418" s="148" t="s">
        <v>1525</v>
      </c>
      <c r="B418" s="148" t="s">
        <v>1536</v>
      </c>
      <c r="C418" s="148" t="s">
        <v>1519</v>
      </c>
      <c r="D418" s="148" t="s">
        <v>1528</v>
      </c>
      <c r="E418" s="152">
        <v>40806</v>
      </c>
      <c r="F418" s="149">
        <v>6</v>
      </c>
      <c r="G418" s="149">
        <v>1956</v>
      </c>
    </row>
    <row r="419" spans="1:7" x14ac:dyDescent="0.25">
      <c r="A419" s="148" t="s">
        <v>1522</v>
      </c>
      <c r="B419" s="148" t="s">
        <v>1536</v>
      </c>
      <c r="C419" s="148" t="s">
        <v>1519</v>
      </c>
      <c r="D419" s="148" t="s">
        <v>1533</v>
      </c>
      <c r="E419" s="152">
        <v>40353</v>
      </c>
      <c r="F419" s="149">
        <v>7</v>
      </c>
      <c r="G419" s="149">
        <v>3241</v>
      </c>
    </row>
    <row r="420" spans="1:7" x14ac:dyDescent="0.25">
      <c r="A420" s="148" t="s">
        <v>1525</v>
      </c>
      <c r="B420" s="148" t="s">
        <v>1536</v>
      </c>
      <c r="C420" s="148" t="s">
        <v>1519</v>
      </c>
      <c r="D420" s="148" t="s">
        <v>1533</v>
      </c>
      <c r="E420" s="152">
        <v>40666</v>
      </c>
      <c r="F420" s="149">
        <v>7</v>
      </c>
      <c r="G420" s="149">
        <v>2457</v>
      </c>
    </row>
    <row r="421" spans="1:7" x14ac:dyDescent="0.25">
      <c r="A421" s="148" t="s">
        <v>1526</v>
      </c>
      <c r="B421" s="148" t="s">
        <v>1536</v>
      </c>
      <c r="C421" s="148" t="s">
        <v>1514</v>
      </c>
      <c r="D421" s="148" t="s">
        <v>1533</v>
      </c>
      <c r="E421" s="152">
        <v>40469</v>
      </c>
      <c r="F421" s="149">
        <v>7</v>
      </c>
      <c r="G421" s="149">
        <v>3248</v>
      </c>
    </row>
    <row r="422" spans="1:7" x14ac:dyDescent="0.25">
      <c r="A422" s="148" t="s">
        <v>1526</v>
      </c>
      <c r="B422" s="148" t="s">
        <v>1536</v>
      </c>
      <c r="C422" s="148" t="s">
        <v>1514</v>
      </c>
      <c r="D422" s="148" t="s">
        <v>1513</v>
      </c>
      <c r="E422" s="152">
        <v>40380</v>
      </c>
      <c r="F422" s="149">
        <v>7</v>
      </c>
      <c r="G422" s="149">
        <v>2856</v>
      </c>
    </row>
    <row r="423" spans="1:7" x14ac:dyDescent="0.25">
      <c r="A423" s="148" t="s">
        <v>1532</v>
      </c>
      <c r="B423" s="148" t="s">
        <v>1536</v>
      </c>
      <c r="C423" s="148" t="s">
        <v>1519</v>
      </c>
      <c r="D423" s="148" t="s">
        <v>1531</v>
      </c>
      <c r="E423" s="152">
        <v>40361</v>
      </c>
      <c r="F423" s="149">
        <v>7</v>
      </c>
      <c r="G423" s="149">
        <v>2716</v>
      </c>
    </row>
    <row r="424" spans="1:7" x14ac:dyDescent="0.25">
      <c r="A424" s="148" t="s">
        <v>1527</v>
      </c>
      <c r="B424" s="148" t="s">
        <v>1536</v>
      </c>
      <c r="C424" s="148" t="s">
        <v>1514</v>
      </c>
      <c r="D424" s="148" t="s">
        <v>1531</v>
      </c>
      <c r="E424" s="152">
        <v>40850</v>
      </c>
      <c r="F424" s="149">
        <v>7</v>
      </c>
      <c r="G424" s="149">
        <v>2737</v>
      </c>
    </row>
    <row r="425" spans="1:7" x14ac:dyDescent="0.25">
      <c r="A425" s="148" t="s">
        <v>1527</v>
      </c>
      <c r="B425" s="148" t="s">
        <v>1536</v>
      </c>
      <c r="C425" s="148" t="s">
        <v>1514</v>
      </c>
      <c r="D425" s="148" t="s">
        <v>1531</v>
      </c>
      <c r="E425" s="152">
        <v>40890</v>
      </c>
      <c r="F425" s="149">
        <v>7</v>
      </c>
      <c r="G425" s="149">
        <v>3346</v>
      </c>
    </row>
    <row r="426" spans="1:7" x14ac:dyDescent="0.25">
      <c r="A426" s="148" t="s">
        <v>1525</v>
      </c>
      <c r="B426" s="148" t="s">
        <v>1536</v>
      </c>
      <c r="C426" s="148" t="s">
        <v>1514</v>
      </c>
      <c r="D426" s="148" t="s">
        <v>1528</v>
      </c>
      <c r="E426" s="152">
        <v>40582</v>
      </c>
      <c r="F426" s="149">
        <v>7</v>
      </c>
      <c r="G426" s="149">
        <v>2632</v>
      </c>
    </row>
    <row r="427" spans="1:7" x14ac:dyDescent="0.25">
      <c r="A427" s="148" t="s">
        <v>1534</v>
      </c>
      <c r="B427" s="148" t="s">
        <v>1536</v>
      </c>
      <c r="C427" s="148" t="s">
        <v>1523</v>
      </c>
      <c r="D427" s="148" t="s">
        <v>1513</v>
      </c>
      <c r="E427" s="152">
        <v>40642</v>
      </c>
      <c r="F427" s="149">
        <v>8</v>
      </c>
      <c r="G427" s="149">
        <v>4928</v>
      </c>
    </row>
    <row r="428" spans="1:7" x14ac:dyDescent="0.25">
      <c r="A428" s="148" t="s">
        <v>1527</v>
      </c>
      <c r="B428" s="148" t="s">
        <v>1536</v>
      </c>
      <c r="C428" s="148" t="s">
        <v>1519</v>
      </c>
      <c r="D428" s="148" t="s">
        <v>1513</v>
      </c>
      <c r="E428" s="152">
        <v>40726</v>
      </c>
      <c r="F428" s="149">
        <v>8</v>
      </c>
      <c r="G428" s="149">
        <v>4600</v>
      </c>
    </row>
    <row r="429" spans="1:7" x14ac:dyDescent="0.25">
      <c r="A429" s="148" t="s">
        <v>1527</v>
      </c>
      <c r="B429" s="148" t="s">
        <v>1536</v>
      </c>
      <c r="C429" s="148" t="s">
        <v>1517</v>
      </c>
      <c r="D429" s="148" t="s">
        <v>1513</v>
      </c>
      <c r="E429" s="152">
        <v>40218</v>
      </c>
      <c r="F429" s="149">
        <v>8</v>
      </c>
      <c r="G429" s="149">
        <v>5280</v>
      </c>
    </row>
    <row r="430" spans="1:7" x14ac:dyDescent="0.25">
      <c r="A430" s="148" t="s">
        <v>1521</v>
      </c>
      <c r="B430" s="148" t="s">
        <v>1536</v>
      </c>
      <c r="C430" s="148" t="s">
        <v>1517</v>
      </c>
      <c r="D430" s="148" t="s">
        <v>1513</v>
      </c>
      <c r="E430" s="152">
        <v>40606</v>
      </c>
      <c r="F430" s="149">
        <v>8</v>
      </c>
      <c r="G430" s="149">
        <v>4424</v>
      </c>
    </row>
    <row r="431" spans="1:7" x14ac:dyDescent="0.25">
      <c r="A431" s="148" t="s">
        <v>1516</v>
      </c>
      <c r="B431" s="148" t="s">
        <v>1536</v>
      </c>
      <c r="C431" s="148" t="s">
        <v>1517</v>
      </c>
      <c r="D431" s="148" t="s">
        <v>1513</v>
      </c>
      <c r="E431" s="152">
        <v>40765</v>
      </c>
      <c r="F431" s="149">
        <v>8</v>
      </c>
      <c r="G431" s="149">
        <v>5600</v>
      </c>
    </row>
    <row r="432" spans="1:7" x14ac:dyDescent="0.25">
      <c r="A432" s="148" t="s">
        <v>1527</v>
      </c>
      <c r="B432" s="148" t="s">
        <v>1536</v>
      </c>
      <c r="C432" s="148" t="s">
        <v>1517</v>
      </c>
      <c r="D432" s="148" t="s">
        <v>1513</v>
      </c>
      <c r="E432" s="152">
        <v>40823</v>
      </c>
      <c r="F432" s="149">
        <v>8</v>
      </c>
      <c r="G432" s="149">
        <v>4264</v>
      </c>
    </row>
    <row r="433" spans="1:7" x14ac:dyDescent="0.25">
      <c r="A433" s="148" t="s">
        <v>1526</v>
      </c>
      <c r="B433" s="148" t="s">
        <v>1536</v>
      </c>
      <c r="C433" s="148" t="s">
        <v>1514</v>
      </c>
      <c r="D433" s="148" t="s">
        <v>1531</v>
      </c>
      <c r="E433" s="152">
        <v>40226</v>
      </c>
      <c r="F433" s="149">
        <v>8</v>
      </c>
      <c r="G433" s="153">
        <v>3904</v>
      </c>
    </row>
    <row r="434" spans="1:7" x14ac:dyDescent="0.25">
      <c r="A434" s="148" t="s">
        <v>1529</v>
      </c>
      <c r="B434" s="148" t="s">
        <v>1536</v>
      </c>
      <c r="C434" s="148" t="s">
        <v>1514</v>
      </c>
      <c r="D434" s="148" t="s">
        <v>1531</v>
      </c>
      <c r="E434" s="152">
        <v>40386</v>
      </c>
      <c r="F434" s="149">
        <v>8</v>
      </c>
      <c r="G434" s="149">
        <v>5552</v>
      </c>
    </row>
    <row r="435" spans="1:7" x14ac:dyDescent="0.25">
      <c r="A435" s="148" t="s">
        <v>1529</v>
      </c>
      <c r="B435" s="148" t="s">
        <v>1536</v>
      </c>
      <c r="C435" s="148" t="s">
        <v>1517</v>
      </c>
      <c r="D435" s="148" t="s">
        <v>1530</v>
      </c>
      <c r="E435" s="152">
        <v>40904</v>
      </c>
      <c r="F435" s="149">
        <v>8</v>
      </c>
      <c r="G435" s="149">
        <v>2640</v>
      </c>
    </row>
    <row r="436" spans="1:7" x14ac:dyDescent="0.25">
      <c r="A436" s="148" t="s">
        <v>1529</v>
      </c>
      <c r="B436" s="148" t="s">
        <v>1536</v>
      </c>
      <c r="C436" s="148" t="s">
        <v>1523</v>
      </c>
      <c r="D436" s="148" t="s">
        <v>1528</v>
      </c>
      <c r="E436" s="152">
        <v>40862</v>
      </c>
      <c r="F436" s="149">
        <v>8</v>
      </c>
      <c r="G436" s="149">
        <v>2872</v>
      </c>
    </row>
    <row r="437" spans="1:7" x14ac:dyDescent="0.25">
      <c r="A437" s="148" t="s">
        <v>1524</v>
      </c>
      <c r="B437" s="148" t="s">
        <v>1536</v>
      </c>
      <c r="C437" s="148" t="s">
        <v>1519</v>
      </c>
      <c r="D437" s="148" t="s">
        <v>1528</v>
      </c>
      <c r="E437" s="152">
        <v>40407</v>
      </c>
      <c r="F437" s="149">
        <v>8</v>
      </c>
      <c r="G437" s="149">
        <v>2832</v>
      </c>
    </row>
    <row r="438" spans="1:7" x14ac:dyDescent="0.25">
      <c r="A438" s="148" t="s">
        <v>1520</v>
      </c>
      <c r="B438" s="148" t="s">
        <v>1536</v>
      </c>
      <c r="C438" s="148" t="s">
        <v>1517</v>
      </c>
      <c r="D438" s="148" t="s">
        <v>1528</v>
      </c>
      <c r="E438" s="152">
        <v>40598</v>
      </c>
      <c r="F438" s="149">
        <v>8</v>
      </c>
      <c r="G438" s="149">
        <v>3976</v>
      </c>
    </row>
    <row r="439" spans="1:7" x14ac:dyDescent="0.25">
      <c r="A439" s="148" t="s">
        <v>1524</v>
      </c>
      <c r="B439" s="148" t="s">
        <v>1536</v>
      </c>
      <c r="C439" s="148" t="s">
        <v>1523</v>
      </c>
      <c r="D439" s="148" t="s">
        <v>1533</v>
      </c>
      <c r="E439" s="152">
        <v>40512</v>
      </c>
      <c r="F439" s="149">
        <v>9</v>
      </c>
      <c r="G439" s="149">
        <v>5031</v>
      </c>
    </row>
    <row r="440" spans="1:7" x14ac:dyDescent="0.25">
      <c r="A440" s="148" t="s">
        <v>1520</v>
      </c>
      <c r="B440" s="148" t="s">
        <v>1536</v>
      </c>
      <c r="C440" s="148" t="s">
        <v>1519</v>
      </c>
      <c r="D440" s="148" t="s">
        <v>1533</v>
      </c>
      <c r="E440" s="152">
        <v>40533</v>
      </c>
      <c r="F440" s="149">
        <v>9</v>
      </c>
      <c r="G440" s="149">
        <v>5085</v>
      </c>
    </row>
    <row r="441" spans="1:7" x14ac:dyDescent="0.25">
      <c r="A441" s="148" t="s">
        <v>1529</v>
      </c>
      <c r="B441" s="148" t="s">
        <v>1536</v>
      </c>
      <c r="C441" s="148" t="s">
        <v>1517</v>
      </c>
      <c r="D441" s="148" t="s">
        <v>1533</v>
      </c>
      <c r="E441" s="152">
        <v>40570</v>
      </c>
      <c r="F441" s="149">
        <v>9</v>
      </c>
      <c r="G441" s="149">
        <v>2997</v>
      </c>
    </row>
    <row r="442" spans="1:7" x14ac:dyDescent="0.25">
      <c r="A442" s="148" t="s">
        <v>1522</v>
      </c>
      <c r="B442" s="148" t="s">
        <v>1536</v>
      </c>
      <c r="C442" s="148" t="s">
        <v>1514</v>
      </c>
      <c r="D442" s="148" t="s">
        <v>1533</v>
      </c>
      <c r="E442" s="152">
        <v>40344</v>
      </c>
      <c r="F442" s="149">
        <v>9</v>
      </c>
      <c r="G442" s="149">
        <v>4725</v>
      </c>
    </row>
    <row r="443" spans="1:7" x14ac:dyDescent="0.25">
      <c r="A443" s="148" t="s">
        <v>1526</v>
      </c>
      <c r="B443" s="148" t="s">
        <v>1536</v>
      </c>
      <c r="C443" s="148" t="s">
        <v>1523</v>
      </c>
      <c r="D443" s="148" t="s">
        <v>1513</v>
      </c>
      <c r="E443" s="152">
        <v>40424</v>
      </c>
      <c r="F443" s="149">
        <v>9</v>
      </c>
      <c r="G443" s="149">
        <v>5724</v>
      </c>
    </row>
    <row r="444" spans="1:7" x14ac:dyDescent="0.25">
      <c r="A444" s="148" t="s">
        <v>1525</v>
      </c>
      <c r="B444" s="148" t="s">
        <v>1536</v>
      </c>
      <c r="C444" s="148" t="s">
        <v>1519</v>
      </c>
      <c r="D444" s="148" t="s">
        <v>1513</v>
      </c>
      <c r="E444" s="152">
        <v>40320</v>
      </c>
      <c r="F444" s="149">
        <v>9</v>
      </c>
      <c r="G444" s="149">
        <v>3969</v>
      </c>
    </row>
    <row r="445" spans="1:7" x14ac:dyDescent="0.25">
      <c r="A445" s="148" t="s">
        <v>1520</v>
      </c>
      <c r="B445" s="148" t="s">
        <v>1536</v>
      </c>
      <c r="C445" s="148" t="s">
        <v>1514</v>
      </c>
      <c r="D445" s="148" t="s">
        <v>1513</v>
      </c>
      <c r="E445" s="152">
        <v>40539</v>
      </c>
      <c r="F445" s="149">
        <v>9</v>
      </c>
      <c r="G445" s="149">
        <v>5238</v>
      </c>
    </row>
    <row r="446" spans="1:7" x14ac:dyDescent="0.25">
      <c r="A446" s="148" t="s">
        <v>1527</v>
      </c>
      <c r="B446" s="148" t="s">
        <v>1536</v>
      </c>
      <c r="C446" s="148" t="s">
        <v>1514</v>
      </c>
      <c r="D446" s="148" t="s">
        <v>1513</v>
      </c>
      <c r="E446" s="152">
        <v>40852</v>
      </c>
      <c r="F446" s="149">
        <v>9</v>
      </c>
      <c r="G446" s="149">
        <v>3681</v>
      </c>
    </row>
    <row r="447" spans="1:7" x14ac:dyDescent="0.25">
      <c r="A447" s="148" t="s">
        <v>1522</v>
      </c>
      <c r="B447" s="148" t="s">
        <v>1536</v>
      </c>
      <c r="C447" s="148" t="s">
        <v>1519</v>
      </c>
      <c r="D447" s="148" t="s">
        <v>1530</v>
      </c>
      <c r="E447" s="152">
        <v>40323</v>
      </c>
      <c r="F447" s="149">
        <v>9</v>
      </c>
      <c r="G447" s="149">
        <v>3780</v>
      </c>
    </row>
    <row r="448" spans="1:7" x14ac:dyDescent="0.25">
      <c r="A448" s="148" t="s">
        <v>1518</v>
      </c>
      <c r="B448" s="148" t="s">
        <v>1536</v>
      </c>
      <c r="C448" s="148" t="s">
        <v>1514</v>
      </c>
      <c r="D448" s="148" t="s">
        <v>1530</v>
      </c>
      <c r="E448" s="152">
        <v>40626</v>
      </c>
      <c r="F448" s="149">
        <v>9</v>
      </c>
      <c r="G448" s="149">
        <v>5220</v>
      </c>
    </row>
    <row r="449" spans="1:7" x14ac:dyDescent="0.25">
      <c r="A449" s="148" t="s">
        <v>1534</v>
      </c>
      <c r="B449" s="148" t="s">
        <v>1536</v>
      </c>
      <c r="C449" s="148" t="s">
        <v>1523</v>
      </c>
      <c r="D449" s="148" t="s">
        <v>1528</v>
      </c>
      <c r="E449" s="152">
        <v>40637</v>
      </c>
      <c r="F449" s="149">
        <v>9</v>
      </c>
      <c r="G449" s="149">
        <v>5445</v>
      </c>
    </row>
    <row r="450" spans="1:7" x14ac:dyDescent="0.25">
      <c r="A450" s="148" t="s">
        <v>1534</v>
      </c>
      <c r="B450" s="148" t="s">
        <v>1536</v>
      </c>
      <c r="C450" s="148" t="s">
        <v>1514</v>
      </c>
      <c r="D450" s="148" t="s">
        <v>1528</v>
      </c>
      <c r="E450" s="152">
        <v>40852</v>
      </c>
      <c r="F450" s="149">
        <v>9</v>
      </c>
      <c r="G450" s="149">
        <v>3555</v>
      </c>
    </row>
    <row r="451" spans="1:7" x14ac:dyDescent="0.25">
      <c r="A451" s="148" t="s">
        <v>1526</v>
      </c>
      <c r="B451" s="148" t="s">
        <v>1536</v>
      </c>
      <c r="C451" s="148" t="s">
        <v>1517</v>
      </c>
      <c r="D451" s="148" t="s">
        <v>1533</v>
      </c>
      <c r="E451" s="152">
        <v>40824</v>
      </c>
      <c r="F451" s="149">
        <v>10</v>
      </c>
      <c r="G451" s="149">
        <v>6760</v>
      </c>
    </row>
    <row r="452" spans="1:7" x14ac:dyDescent="0.25">
      <c r="A452" s="148" t="s">
        <v>1522</v>
      </c>
      <c r="B452" s="148" t="s">
        <v>1536</v>
      </c>
      <c r="C452" s="148" t="s">
        <v>1523</v>
      </c>
      <c r="D452" s="148" t="s">
        <v>1531</v>
      </c>
      <c r="E452" s="152">
        <v>40278</v>
      </c>
      <c r="F452" s="149">
        <v>10</v>
      </c>
      <c r="G452" s="149">
        <v>3130</v>
      </c>
    </row>
    <row r="453" spans="1:7" x14ac:dyDescent="0.25">
      <c r="A453" s="148" t="s">
        <v>1532</v>
      </c>
      <c r="B453" s="148" t="s">
        <v>1536</v>
      </c>
      <c r="C453" s="148" t="s">
        <v>1514</v>
      </c>
      <c r="D453" s="148" t="s">
        <v>1531</v>
      </c>
      <c r="E453" s="152">
        <v>40812</v>
      </c>
      <c r="F453" s="149">
        <v>10</v>
      </c>
      <c r="G453" s="149">
        <v>6270</v>
      </c>
    </row>
    <row r="454" spans="1:7" x14ac:dyDescent="0.25">
      <c r="A454" s="148" t="s">
        <v>1532</v>
      </c>
      <c r="B454" s="148" t="s">
        <v>1536</v>
      </c>
      <c r="C454" s="148" t="s">
        <v>1519</v>
      </c>
      <c r="D454" s="148" t="s">
        <v>1530</v>
      </c>
      <c r="E454" s="152">
        <v>40189</v>
      </c>
      <c r="F454" s="149">
        <v>10</v>
      </c>
      <c r="G454" s="153">
        <v>5720</v>
      </c>
    </row>
    <row r="455" spans="1:7" x14ac:dyDescent="0.25">
      <c r="A455" s="148" t="s">
        <v>1516</v>
      </c>
      <c r="B455" s="148" t="s">
        <v>1536</v>
      </c>
      <c r="C455" s="148" t="s">
        <v>1517</v>
      </c>
      <c r="D455" s="148" t="s">
        <v>1530</v>
      </c>
      <c r="E455" s="152">
        <v>40192</v>
      </c>
      <c r="F455" s="149">
        <v>10</v>
      </c>
      <c r="G455" s="153">
        <v>4900</v>
      </c>
    </row>
    <row r="456" spans="1:7" x14ac:dyDescent="0.25">
      <c r="A456" s="148" t="s">
        <v>1525</v>
      </c>
      <c r="B456" s="148" t="s">
        <v>1536</v>
      </c>
      <c r="C456" s="148" t="s">
        <v>1519</v>
      </c>
      <c r="D456" s="148" t="s">
        <v>1528</v>
      </c>
      <c r="E456" s="152">
        <v>40813</v>
      </c>
      <c r="F456" s="149">
        <v>10</v>
      </c>
      <c r="G456" s="149">
        <v>5870</v>
      </c>
    </row>
    <row r="457" spans="1:7" x14ac:dyDescent="0.25">
      <c r="A457" s="148" t="s">
        <v>1532</v>
      </c>
      <c r="B457" s="148" t="s">
        <v>1536</v>
      </c>
      <c r="C457" s="148" t="s">
        <v>1514</v>
      </c>
      <c r="D457" s="148" t="s">
        <v>1533</v>
      </c>
      <c r="E457" s="152">
        <v>40242</v>
      </c>
      <c r="F457" s="149">
        <v>11</v>
      </c>
      <c r="G457" s="153">
        <v>3795</v>
      </c>
    </row>
    <row r="458" spans="1:7" x14ac:dyDescent="0.25">
      <c r="A458" s="148" t="s">
        <v>1525</v>
      </c>
      <c r="B458" s="148" t="s">
        <v>1536</v>
      </c>
      <c r="C458" s="148" t="s">
        <v>1523</v>
      </c>
      <c r="D458" s="148" t="s">
        <v>1513</v>
      </c>
      <c r="E458" s="152">
        <v>40491</v>
      </c>
      <c r="F458" s="149">
        <v>11</v>
      </c>
      <c r="G458" s="149">
        <v>5005</v>
      </c>
    </row>
    <row r="459" spans="1:7" x14ac:dyDescent="0.25">
      <c r="A459" s="148" t="s">
        <v>1532</v>
      </c>
      <c r="B459" s="148" t="s">
        <v>1536</v>
      </c>
      <c r="C459" s="148" t="s">
        <v>1519</v>
      </c>
      <c r="D459" s="148" t="s">
        <v>1513</v>
      </c>
      <c r="E459" s="152">
        <v>40190</v>
      </c>
      <c r="F459" s="149">
        <v>11</v>
      </c>
      <c r="G459" s="149">
        <v>4818</v>
      </c>
    </row>
    <row r="460" spans="1:7" x14ac:dyDescent="0.25">
      <c r="A460" s="148" t="s">
        <v>1520</v>
      </c>
      <c r="B460" s="148" t="s">
        <v>1536</v>
      </c>
      <c r="C460" s="148" t="s">
        <v>1519</v>
      </c>
      <c r="D460" s="148" t="s">
        <v>1513</v>
      </c>
      <c r="E460" s="152">
        <v>40483</v>
      </c>
      <c r="F460" s="149">
        <v>11</v>
      </c>
      <c r="G460" s="149">
        <v>5698</v>
      </c>
    </row>
    <row r="461" spans="1:7" x14ac:dyDescent="0.25">
      <c r="A461" s="148" t="s">
        <v>1527</v>
      </c>
      <c r="B461" s="148" t="s">
        <v>1536</v>
      </c>
      <c r="C461" s="148" t="s">
        <v>1517</v>
      </c>
      <c r="D461" s="148" t="s">
        <v>1531</v>
      </c>
      <c r="E461" s="152">
        <v>40529</v>
      </c>
      <c r="F461" s="149">
        <v>11</v>
      </c>
      <c r="G461" s="149">
        <v>4631</v>
      </c>
    </row>
    <row r="462" spans="1:7" x14ac:dyDescent="0.25">
      <c r="A462" s="148" t="s">
        <v>1526</v>
      </c>
      <c r="B462" s="148" t="s">
        <v>1536</v>
      </c>
      <c r="C462" s="148" t="s">
        <v>1517</v>
      </c>
      <c r="D462" s="148" t="s">
        <v>1531</v>
      </c>
      <c r="E462" s="152">
        <v>40567</v>
      </c>
      <c r="F462" s="149">
        <v>11</v>
      </c>
      <c r="G462" s="149">
        <v>4664</v>
      </c>
    </row>
    <row r="463" spans="1:7" x14ac:dyDescent="0.25">
      <c r="A463" s="148" t="s">
        <v>1522</v>
      </c>
      <c r="B463" s="148" t="s">
        <v>1536</v>
      </c>
      <c r="C463" s="148" t="s">
        <v>1523</v>
      </c>
      <c r="D463" s="148" t="s">
        <v>1530</v>
      </c>
      <c r="E463" s="152">
        <v>40222</v>
      </c>
      <c r="F463" s="149">
        <v>11</v>
      </c>
      <c r="G463" s="153">
        <v>6490</v>
      </c>
    </row>
    <row r="464" spans="1:7" x14ac:dyDescent="0.25">
      <c r="A464" s="148" t="s">
        <v>1526</v>
      </c>
      <c r="B464" s="148" t="s">
        <v>1536</v>
      </c>
      <c r="C464" s="148" t="s">
        <v>1517</v>
      </c>
      <c r="D464" s="148" t="s">
        <v>1530</v>
      </c>
      <c r="E464" s="152">
        <v>40315</v>
      </c>
      <c r="F464" s="149">
        <v>11</v>
      </c>
      <c r="G464" s="149">
        <v>4565</v>
      </c>
    </row>
    <row r="465" spans="1:7" x14ac:dyDescent="0.25">
      <c r="A465" s="148" t="s">
        <v>1526</v>
      </c>
      <c r="B465" s="148" t="s">
        <v>1536</v>
      </c>
      <c r="C465" s="148" t="s">
        <v>1514</v>
      </c>
      <c r="D465" s="148" t="s">
        <v>1530</v>
      </c>
      <c r="E465" s="152">
        <v>40487</v>
      </c>
      <c r="F465" s="149">
        <v>11</v>
      </c>
      <c r="G465" s="149">
        <v>5599</v>
      </c>
    </row>
    <row r="466" spans="1:7" x14ac:dyDescent="0.25">
      <c r="A466" s="148" t="s">
        <v>1526</v>
      </c>
      <c r="B466" s="148" t="s">
        <v>1536</v>
      </c>
      <c r="C466" s="148" t="s">
        <v>1517</v>
      </c>
      <c r="D466" s="148" t="s">
        <v>1528</v>
      </c>
      <c r="E466" s="152">
        <v>40551</v>
      </c>
      <c r="F466" s="149">
        <v>11</v>
      </c>
      <c r="G466" s="149">
        <v>6908</v>
      </c>
    </row>
    <row r="467" spans="1:7" x14ac:dyDescent="0.25">
      <c r="A467" s="148" t="s">
        <v>1532</v>
      </c>
      <c r="B467" s="148" t="s">
        <v>1536</v>
      </c>
      <c r="C467" s="148" t="s">
        <v>1519</v>
      </c>
      <c r="D467" s="148" t="s">
        <v>1533</v>
      </c>
      <c r="E467" s="152">
        <v>40886</v>
      </c>
      <c r="F467" s="149">
        <v>12</v>
      </c>
      <c r="G467" s="149">
        <v>8304</v>
      </c>
    </row>
    <row r="468" spans="1:7" x14ac:dyDescent="0.25">
      <c r="A468" s="148" t="s">
        <v>1518</v>
      </c>
      <c r="B468" s="148" t="s">
        <v>1536</v>
      </c>
      <c r="C468" s="148" t="s">
        <v>1514</v>
      </c>
      <c r="D468" s="148" t="s">
        <v>1533</v>
      </c>
      <c r="E468" s="152">
        <v>40686</v>
      </c>
      <c r="F468" s="149">
        <v>12</v>
      </c>
      <c r="G468" s="149">
        <v>4932</v>
      </c>
    </row>
    <row r="469" spans="1:7" x14ac:dyDescent="0.25">
      <c r="A469" s="148" t="s">
        <v>1516</v>
      </c>
      <c r="B469" s="148" t="s">
        <v>1536</v>
      </c>
      <c r="C469" s="148" t="s">
        <v>1523</v>
      </c>
      <c r="D469" s="148" t="s">
        <v>1513</v>
      </c>
      <c r="E469" s="152">
        <v>40386</v>
      </c>
      <c r="F469" s="149">
        <v>12</v>
      </c>
      <c r="G469" s="149">
        <v>4104</v>
      </c>
    </row>
    <row r="470" spans="1:7" x14ac:dyDescent="0.25">
      <c r="A470" s="148" t="s">
        <v>1520</v>
      </c>
      <c r="B470" s="148" t="s">
        <v>1536</v>
      </c>
      <c r="C470" s="148" t="s">
        <v>1519</v>
      </c>
      <c r="D470" s="148" t="s">
        <v>1531</v>
      </c>
      <c r="E470" s="152">
        <v>40534</v>
      </c>
      <c r="F470" s="149">
        <v>12</v>
      </c>
      <c r="G470" s="149">
        <v>6288</v>
      </c>
    </row>
    <row r="471" spans="1:7" x14ac:dyDescent="0.25">
      <c r="A471" s="148" t="s">
        <v>1516</v>
      </c>
      <c r="B471" s="148" t="s">
        <v>1536</v>
      </c>
      <c r="C471" s="148" t="s">
        <v>1517</v>
      </c>
      <c r="D471" s="148" t="s">
        <v>1531</v>
      </c>
      <c r="E471" s="152">
        <v>40653</v>
      </c>
      <c r="F471" s="149">
        <v>12</v>
      </c>
      <c r="G471" s="149">
        <v>6048</v>
      </c>
    </row>
    <row r="472" spans="1:7" x14ac:dyDescent="0.25">
      <c r="A472" s="148" t="s">
        <v>1526</v>
      </c>
      <c r="B472" s="148" t="s">
        <v>1536</v>
      </c>
      <c r="C472" s="148" t="s">
        <v>1514</v>
      </c>
      <c r="D472" s="148" t="s">
        <v>1531</v>
      </c>
      <c r="E472" s="152">
        <v>40477</v>
      </c>
      <c r="F472" s="149">
        <v>12</v>
      </c>
      <c r="G472" s="149">
        <v>4764</v>
      </c>
    </row>
    <row r="473" spans="1:7" x14ac:dyDescent="0.25">
      <c r="A473" s="148" t="s">
        <v>1522</v>
      </c>
      <c r="B473" s="148" t="s">
        <v>1536</v>
      </c>
      <c r="C473" s="148" t="s">
        <v>1514</v>
      </c>
      <c r="D473" s="148" t="s">
        <v>1530</v>
      </c>
      <c r="E473" s="152">
        <v>40254</v>
      </c>
      <c r="F473" s="149">
        <v>12</v>
      </c>
      <c r="G473" s="149">
        <v>4104</v>
      </c>
    </row>
    <row r="474" spans="1:7" x14ac:dyDescent="0.25">
      <c r="A474" s="148" t="s">
        <v>1516</v>
      </c>
      <c r="B474" s="148" t="s">
        <v>1536</v>
      </c>
      <c r="C474" s="148" t="s">
        <v>1523</v>
      </c>
      <c r="D474" s="148" t="s">
        <v>1528</v>
      </c>
      <c r="E474" s="152">
        <v>40296</v>
      </c>
      <c r="F474" s="149">
        <v>12</v>
      </c>
      <c r="G474" s="149">
        <v>3768</v>
      </c>
    </row>
    <row r="475" spans="1:7" x14ac:dyDescent="0.25">
      <c r="A475" s="148" t="s">
        <v>1516</v>
      </c>
      <c r="B475" s="148" t="s">
        <v>1536</v>
      </c>
      <c r="C475" s="148" t="s">
        <v>1523</v>
      </c>
      <c r="D475" s="148" t="s">
        <v>1528</v>
      </c>
      <c r="E475" s="152">
        <v>40421</v>
      </c>
      <c r="F475" s="149">
        <v>12</v>
      </c>
      <c r="G475" s="149">
        <v>3624</v>
      </c>
    </row>
    <row r="476" spans="1:7" x14ac:dyDescent="0.25">
      <c r="A476" s="148" t="s">
        <v>1525</v>
      </c>
      <c r="B476" s="148" t="s">
        <v>1536</v>
      </c>
      <c r="C476" s="148" t="s">
        <v>1523</v>
      </c>
      <c r="D476" s="148" t="s">
        <v>1528</v>
      </c>
      <c r="E476" s="152">
        <v>40780</v>
      </c>
      <c r="F476" s="149">
        <v>12</v>
      </c>
      <c r="G476" s="149">
        <v>6456</v>
      </c>
    </row>
    <row r="477" spans="1:7" x14ac:dyDescent="0.25">
      <c r="A477" s="148" t="s">
        <v>1526</v>
      </c>
      <c r="B477" s="148" t="s">
        <v>1536</v>
      </c>
      <c r="C477" s="148" t="s">
        <v>1523</v>
      </c>
      <c r="D477" s="148" t="s">
        <v>1528</v>
      </c>
      <c r="E477" s="152">
        <v>40822</v>
      </c>
      <c r="F477" s="149">
        <v>12</v>
      </c>
      <c r="G477" s="149">
        <v>5592</v>
      </c>
    </row>
    <row r="478" spans="1:7" x14ac:dyDescent="0.25">
      <c r="A478" s="148" t="s">
        <v>1525</v>
      </c>
      <c r="B478" s="148" t="s">
        <v>1536</v>
      </c>
      <c r="C478" s="148" t="s">
        <v>1517</v>
      </c>
      <c r="D478" s="148" t="s">
        <v>1528</v>
      </c>
      <c r="E478" s="152">
        <v>40281</v>
      </c>
      <c r="F478" s="149">
        <v>12</v>
      </c>
      <c r="G478" s="149">
        <v>3672</v>
      </c>
    </row>
    <row r="479" spans="1:7" x14ac:dyDescent="0.25">
      <c r="A479" s="148" t="s">
        <v>1526</v>
      </c>
      <c r="B479" s="148" t="s">
        <v>1536</v>
      </c>
      <c r="C479" s="148" t="s">
        <v>1514</v>
      </c>
      <c r="D479" s="148" t="s">
        <v>1528</v>
      </c>
      <c r="E479" s="152">
        <v>40289</v>
      </c>
      <c r="F479" s="149">
        <v>12</v>
      </c>
      <c r="G479" s="149">
        <v>3912</v>
      </c>
    </row>
    <row r="480" spans="1:7" x14ac:dyDescent="0.25">
      <c r="A480" s="148" t="s">
        <v>1516</v>
      </c>
      <c r="B480" s="148" t="s">
        <v>1536</v>
      </c>
      <c r="C480" s="148" t="s">
        <v>1517</v>
      </c>
      <c r="D480" s="148" t="s">
        <v>1533</v>
      </c>
      <c r="E480" s="152">
        <v>40718</v>
      </c>
      <c r="F480" s="149">
        <v>13</v>
      </c>
      <c r="G480" s="149">
        <v>6084</v>
      </c>
    </row>
    <row r="481" spans="1:7" x14ac:dyDescent="0.25">
      <c r="A481" s="148" t="s">
        <v>1527</v>
      </c>
      <c r="B481" s="148" t="s">
        <v>1536</v>
      </c>
      <c r="C481" s="148" t="s">
        <v>1523</v>
      </c>
      <c r="D481" s="148" t="s">
        <v>1513</v>
      </c>
      <c r="E481" s="152">
        <v>40574</v>
      </c>
      <c r="F481" s="149">
        <v>13</v>
      </c>
      <c r="G481" s="149">
        <v>5785</v>
      </c>
    </row>
    <row r="482" spans="1:7" x14ac:dyDescent="0.25">
      <c r="A482" s="148" t="s">
        <v>1526</v>
      </c>
      <c r="B482" s="148" t="s">
        <v>1536</v>
      </c>
      <c r="C482" s="148" t="s">
        <v>1519</v>
      </c>
      <c r="D482" s="148" t="s">
        <v>1513</v>
      </c>
      <c r="E482" s="152">
        <v>40733</v>
      </c>
      <c r="F482" s="149">
        <v>13</v>
      </c>
      <c r="G482" s="149">
        <v>4459</v>
      </c>
    </row>
    <row r="483" spans="1:7" x14ac:dyDescent="0.25">
      <c r="A483" s="148" t="s">
        <v>1527</v>
      </c>
      <c r="B483" s="148" t="s">
        <v>1536</v>
      </c>
      <c r="C483" s="148" t="s">
        <v>1517</v>
      </c>
      <c r="D483" s="148" t="s">
        <v>1513</v>
      </c>
      <c r="E483" s="152">
        <v>40218</v>
      </c>
      <c r="F483" s="149">
        <v>13</v>
      </c>
      <c r="G483" s="149">
        <v>4589</v>
      </c>
    </row>
    <row r="484" spans="1:7" x14ac:dyDescent="0.25">
      <c r="A484" s="148" t="s">
        <v>1532</v>
      </c>
      <c r="B484" s="148" t="s">
        <v>1536</v>
      </c>
      <c r="C484" s="148" t="s">
        <v>1517</v>
      </c>
      <c r="D484" s="148" t="s">
        <v>1513</v>
      </c>
      <c r="E484" s="152">
        <v>40554</v>
      </c>
      <c r="F484" s="149">
        <v>13</v>
      </c>
      <c r="G484" s="149">
        <v>6253</v>
      </c>
    </row>
    <row r="485" spans="1:7" x14ac:dyDescent="0.25">
      <c r="A485" s="148" t="s">
        <v>1516</v>
      </c>
      <c r="B485" s="148" t="s">
        <v>1536</v>
      </c>
      <c r="C485" s="148" t="s">
        <v>1523</v>
      </c>
      <c r="D485" s="148" t="s">
        <v>1531</v>
      </c>
      <c r="E485" s="152">
        <v>40574</v>
      </c>
      <c r="F485" s="149">
        <v>13</v>
      </c>
      <c r="G485" s="149">
        <v>7059</v>
      </c>
    </row>
    <row r="486" spans="1:7" x14ac:dyDescent="0.25">
      <c r="A486" s="148" t="s">
        <v>1518</v>
      </c>
      <c r="B486" s="148" t="s">
        <v>1536</v>
      </c>
      <c r="C486" s="148" t="s">
        <v>1517</v>
      </c>
      <c r="D486" s="148" t="s">
        <v>1531</v>
      </c>
      <c r="E486" s="152">
        <v>40274</v>
      </c>
      <c r="F486" s="149">
        <v>13</v>
      </c>
      <c r="G486" s="149">
        <v>9048</v>
      </c>
    </row>
    <row r="487" spans="1:7" x14ac:dyDescent="0.25">
      <c r="A487" s="148" t="s">
        <v>1526</v>
      </c>
      <c r="B487" s="148" t="s">
        <v>1536</v>
      </c>
      <c r="C487" s="148" t="s">
        <v>1517</v>
      </c>
      <c r="D487" s="148" t="s">
        <v>1531</v>
      </c>
      <c r="E487" s="152">
        <v>40780</v>
      </c>
      <c r="F487" s="149">
        <v>13</v>
      </c>
      <c r="G487" s="149">
        <v>6552</v>
      </c>
    </row>
    <row r="488" spans="1:7" x14ac:dyDescent="0.25">
      <c r="A488" s="148" t="s">
        <v>1520</v>
      </c>
      <c r="B488" s="148" t="s">
        <v>1536</v>
      </c>
      <c r="C488" s="148" t="s">
        <v>1514</v>
      </c>
      <c r="D488" s="148" t="s">
        <v>1531</v>
      </c>
      <c r="E488" s="152">
        <v>40689</v>
      </c>
      <c r="F488" s="149">
        <v>13</v>
      </c>
      <c r="G488" s="149">
        <v>3926</v>
      </c>
    </row>
    <row r="489" spans="1:7" x14ac:dyDescent="0.25">
      <c r="A489" s="148" t="s">
        <v>1522</v>
      </c>
      <c r="B489" s="148" t="s">
        <v>1536</v>
      </c>
      <c r="C489" s="148" t="s">
        <v>1517</v>
      </c>
      <c r="D489" s="148" t="s">
        <v>1530</v>
      </c>
      <c r="E489" s="152">
        <v>40399</v>
      </c>
      <c r="F489" s="149">
        <v>13</v>
      </c>
      <c r="G489" s="149">
        <v>8476</v>
      </c>
    </row>
    <row r="490" spans="1:7" x14ac:dyDescent="0.25">
      <c r="A490" s="148" t="s">
        <v>1520</v>
      </c>
      <c r="B490" s="148" t="s">
        <v>1536</v>
      </c>
      <c r="C490" s="148" t="s">
        <v>1517</v>
      </c>
      <c r="D490" s="148" t="s">
        <v>1530</v>
      </c>
      <c r="E490" s="152">
        <v>40855</v>
      </c>
      <c r="F490" s="149">
        <v>13</v>
      </c>
      <c r="G490" s="149">
        <v>4095</v>
      </c>
    </row>
    <row r="491" spans="1:7" x14ac:dyDescent="0.25">
      <c r="A491" s="148" t="s">
        <v>1520</v>
      </c>
      <c r="B491" s="148" t="s">
        <v>1536</v>
      </c>
      <c r="C491" s="148" t="s">
        <v>1514</v>
      </c>
      <c r="D491" s="148" t="s">
        <v>1530</v>
      </c>
      <c r="E491" s="152">
        <v>40686</v>
      </c>
      <c r="F491" s="149">
        <v>13</v>
      </c>
      <c r="G491" s="149">
        <v>5447</v>
      </c>
    </row>
    <row r="492" spans="1:7" x14ac:dyDescent="0.25">
      <c r="A492" s="148" t="s">
        <v>1520</v>
      </c>
      <c r="B492" s="148" t="s">
        <v>1536</v>
      </c>
      <c r="C492" s="148" t="s">
        <v>1514</v>
      </c>
      <c r="D492" s="148" t="s">
        <v>1530</v>
      </c>
      <c r="E492" s="152">
        <v>40845</v>
      </c>
      <c r="F492" s="149">
        <v>13</v>
      </c>
      <c r="G492" s="149">
        <v>7540</v>
      </c>
    </row>
    <row r="493" spans="1:7" x14ac:dyDescent="0.25">
      <c r="A493" s="148" t="s">
        <v>1527</v>
      </c>
      <c r="B493" s="148" t="s">
        <v>1536</v>
      </c>
      <c r="C493" s="148" t="s">
        <v>1514</v>
      </c>
      <c r="D493" s="148" t="s">
        <v>1528</v>
      </c>
      <c r="E493" s="152">
        <v>40680</v>
      </c>
      <c r="F493" s="149">
        <v>13</v>
      </c>
      <c r="G493" s="149">
        <v>8996</v>
      </c>
    </row>
    <row r="494" spans="1:7" x14ac:dyDescent="0.25">
      <c r="A494" s="148" t="s">
        <v>1532</v>
      </c>
      <c r="B494" s="148" t="s">
        <v>1536</v>
      </c>
      <c r="C494" s="148" t="s">
        <v>1523</v>
      </c>
      <c r="D494" s="148" t="s">
        <v>1533</v>
      </c>
      <c r="E494" s="152">
        <v>40270</v>
      </c>
      <c r="F494" s="149">
        <v>14</v>
      </c>
      <c r="G494" s="149">
        <v>6300</v>
      </c>
    </row>
    <row r="495" spans="1:7" x14ac:dyDescent="0.25">
      <c r="A495" s="148" t="s">
        <v>1534</v>
      </c>
      <c r="B495" s="148" t="s">
        <v>1536</v>
      </c>
      <c r="C495" s="148" t="s">
        <v>1514</v>
      </c>
      <c r="D495" s="148" t="s">
        <v>1533</v>
      </c>
      <c r="E495" s="152">
        <v>40582</v>
      </c>
      <c r="F495" s="149">
        <v>14</v>
      </c>
      <c r="G495" s="149">
        <v>6608</v>
      </c>
    </row>
    <row r="496" spans="1:7" x14ac:dyDescent="0.25">
      <c r="A496" s="148" t="s">
        <v>1520</v>
      </c>
      <c r="B496" s="148" t="s">
        <v>1536</v>
      </c>
      <c r="C496" s="148" t="s">
        <v>1514</v>
      </c>
      <c r="D496" s="148" t="s">
        <v>1533</v>
      </c>
      <c r="E496" s="152">
        <v>40686</v>
      </c>
      <c r="F496" s="149">
        <v>14</v>
      </c>
      <c r="G496" s="149">
        <v>7490</v>
      </c>
    </row>
    <row r="497" spans="1:7" x14ac:dyDescent="0.25">
      <c r="A497" s="148" t="s">
        <v>1518</v>
      </c>
      <c r="B497" s="148" t="s">
        <v>1536</v>
      </c>
      <c r="C497" s="148" t="s">
        <v>1523</v>
      </c>
      <c r="D497" s="148" t="s">
        <v>1513</v>
      </c>
      <c r="E497" s="152">
        <v>40588</v>
      </c>
      <c r="F497" s="149">
        <v>14</v>
      </c>
      <c r="G497" s="149">
        <v>6230</v>
      </c>
    </row>
    <row r="498" spans="1:7" x14ac:dyDescent="0.25">
      <c r="A498" s="148" t="s">
        <v>1518</v>
      </c>
      <c r="B498" s="148" t="s">
        <v>1536</v>
      </c>
      <c r="C498" s="148" t="s">
        <v>1517</v>
      </c>
      <c r="D498" s="148" t="s">
        <v>1513</v>
      </c>
      <c r="E498" s="152">
        <v>40329</v>
      </c>
      <c r="F498" s="149">
        <v>14</v>
      </c>
      <c r="G498" s="149">
        <v>8092</v>
      </c>
    </row>
    <row r="499" spans="1:7" x14ac:dyDescent="0.25">
      <c r="A499" s="148" t="s">
        <v>1520</v>
      </c>
      <c r="B499" s="148" t="s">
        <v>1536</v>
      </c>
      <c r="C499" s="148" t="s">
        <v>1517</v>
      </c>
      <c r="D499" s="148" t="s">
        <v>1513</v>
      </c>
      <c r="E499" s="152">
        <v>40694</v>
      </c>
      <c r="F499" s="149">
        <v>14</v>
      </c>
      <c r="G499" s="149">
        <v>4340</v>
      </c>
    </row>
    <row r="500" spans="1:7" x14ac:dyDescent="0.25">
      <c r="A500" s="148" t="s">
        <v>1524</v>
      </c>
      <c r="B500" s="148" t="s">
        <v>1536</v>
      </c>
      <c r="C500" s="148" t="s">
        <v>1523</v>
      </c>
      <c r="D500" s="148" t="s">
        <v>1531</v>
      </c>
      <c r="E500" s="152">
        <v>40672</v>
      </c>
      <c r="F500" s="149">
        <v>14</v>
      </c>
      <c r="G500" s="149">
        <v>9646</v>
      </c>
    </row>
    <row r="501" spans="1:7" x14ac:dyDescent="0.25">
      <c r="A501" s="148" t="s">
        <v>1526</v>
      </c>
      <c r="B501" s="148" t="s">
        <v>1536</v>
      </c>
      <c r="C501" s="148" t="s">
        <v>1519</v>
      </c>
      <c r="D501" s="148" t="s">
        <v>1531</v>
      </c>
      <c r="E501" s="152">
        <v>40630</v>
      </c>
      <c r="F501" s="149">
        <v>14</v>
      </c>
      <c r="G501" s="149">
        <v>8148</v>
      </c>
    </row>
    <row r="502" spans="1:7" x14ac:dyDescent="0.25">
      <c r="A502" s="148" t="s">
        <v>1524</v>
      </c>
      <c r="B502" s="148" t="s">
        <v>1536</v>
      </c>
      <c r="C502" s="148" t="s">
        <v>1517</v>
      </c>
      <c r="D502" s="148" t="s">
        <v>1531</v>
      </c>
      <c r="E502" s="152">
        <v>40509</v>
      </c>
      <c r="F502" s="149">
        <v>14</v>
      </c>
      <c r="G502" s="149">
        <v>6146</v>
      </c>
    </row>
    <row r="503" spans="1:7" x14ac:dyDescent="0.25">
      <c r="A503" s="148" t="s">
        <v>1527</v>
      </c>
      <c r="B503" s="148" t="s">
        <v>1536</v>
      </c>
      <c r="C503" s="148" t="s">
        <v>1519</v>
      </c>
      <c r="D503" s="148" t="s">
        <v>1528</v>
      </c>
      <c r="E503" s="152">
        <v>40367</v>
      </c>
      <c r="F503" s="149">
        <v>14</v>
      </c>
      <c r="G503" s="149">
        <v>5208</v>
      </c>
    </row>
    <row r="504" spans="1:7" x14ac:dyDescent="0.25">
      <c r="A504" s="148" t="s">
        <v>1525</v>
      </c>
      <c r="B504" s="148" t="s">
        <v>1536</v>
      </c>
      <c r="C504" s="148" t="s">
        <v>1514</v>
      </c>
      <c r="D504" s="148" t="s">
        <v>1528</v>
      </c>
      <c r="E504" s="152">
        <v>40311</v>
      </c>
      <c r="F504" s="149">
        <v>14</v>
      </c>
      <c r="G504" s="149">
        <v>5656</v>
      </c>
    </row>
    <row r="505" spans="1:7" x14ac:dyDescent="0.25">
      <c r="A505" s="148" t="s">
        <v>1532</v>
      </c>
      <c r="B505" s="148" t="s">
        <v>1536</v>
      </c>
      <c r="C505" s="148" t="s">
        <v>1514</v>
      </c>
      <c r="D505" s="148" t="s">
        <v>1528</v>
      </c>
      <c r="E505" s="152">
        <v>40821</v>
      </c>
      <c r="F505" s="149">
        <v>14</v>
      </c>
      <c r="G505" s="149">
        <v>8680</v>
      </c>
    </row>
    <row r="506" spans="1:7" x14ac:dyDescent="0.25">
      <c r="A506" s="148" t="s">
        <v>1520</v>
      </c>
      <c r="B506" s="148" t="s">
        <v>1536</v>
      </c>
      <c r="C506" s="148" t="s">
        <v>1523</v>
      </c>
      <c r="D506" s="148" t="s">
        <v>1533</v>
      </c>
      <c r="E506" s="152">
        <v>40557</v>
      </c>
      <c r="F506" s="149">
        <v>15</v>
      </c>
      <c r="G506" s="149">
        <v>5130</v>
      </c>
    </row>
    <row r="507" spans="1:7" x14ac:dyDescent="0.25">
      <c r="A507" s="148" t="s">
        <v>1532</v>
      </c>
      <c r="B507" s="148" t="s">
        <v>1536</v>
      </c>
      <c r="C507" s="148" t="s">
        <v>1517</v>
      </c>
      <c r="D507" s="148" t="s">
        <v>1533</v>
      </c>
      <c r="E507" s="152">
        <v>40554</v>
      </c>
      <c r="F507" s="149">
        <v>15</v>
      </c>
      <c r="G507" s="149">
        <v>9570</v>
      </c>
    </row>
    <row r="508" spans="1:7" x14ac:dyDescent="0.25">
      <c r="A508" s="148" t="s">
        <v>1518</v>
      </c>
      <c r="B508" s="148" t="s">
        <v>1536</v>
      </c>
      <c r="C508" s="148" t="s">
        <v>1519</v>
      </c>
      <c r="D508" s="148" t="s">
        <v>1513</v>
      </c>
      <c r="E508" s="152">
        <v>40495</v>
      </c>
      <c r="F508" s="149">
        <v>15</v>
      </c>
      <c r="G508" s="149">
        <v>8610</v>
      </c>
    </row>
    <row r="509" spans="1:7" x14ac:dyDescent="0.25">
      <c r="A509" s="148" t="s">
        <v>1516</v>
      </c>
      <c r="B509" s="148" t="s">
        <v>1536</v>
      </c>
      <c r="C509" s="148" t="s">
        <v>1519</v>
      </c>
      <c r="D509" s="148" t="s">
        <v>1531</v>
      </c>
      <c r="E509" s="152">
        <v>40311</v>
      </c>
      <c r="F509" s="149">
        <v>15</v>
      </c>
      <c r="G509" s="149">
        <v>5880</v>
      </c>
    </row>
    <row r="510" spans="1:7" x14ac:dyDescent="0.25">
      <c r="A510" s="148" t="s">
        <v>1529</v>
      </c>
      <c r="B510" s="148" t="s">
        <v>1536</v>
      </c>
      <c r="C510" s="148" t="s">
        <v>1519</v>
      </c>
      <c r="D510" s="148" t="s">
        <v>1531</v>
      </c>
      <c r="E510" s="152">
        <v>40792</v>
      </c>
      <c r="F510" s="149">
        <v>15</v>
      </c>
      <c r="G510" s="149">
        <v>4890</v>
      </c>
    </row>
    <row r="511" spans="1:7" x14ac:dyDescent="0.25">
      <c r="A511" s="148" t="s">
        <v>1527</v>
      </c>
      <c r="B511" s="148" t="s">
        <v>1536</v>
      </c>
      <c r="C511" s="148" t="s">
        <v>1517</v>
      </c>
      <c r="D511" s="148" t="s">
        <v>1531</v>
      </c>
      <c r="E511" s="152">
        <v>40477</v>
      </c>
      <c r="F511" s="149">
        <v>15</v>
      </c>
      <c r="G511" s="149">
        <v>7380</v>
      </c>
    </row>
    <row r="512" spans="1:7" x14ac:dyDescent="0.25">
      <c r="A512" s="148" t="s">
        <v>1529</v>
      </c>
      <c r="B512" s="148" t="s">
        <v>1536</v>
      </c>
      <c r="C512" s="148" t="s">
        <v>1517</v>
      </c>
      <c r="D512" s="148" t="s">
        <v>1531</v>
      </c>
      <c r="E512" s="152">
        <v>40547</v>
      </c>
      <c r="F512" s="149">
        <v>15</v>
      </c>
      <c r="G512" s="149">
        <v>8460</v>
      </c>
    </row>
    <row r="513" spans="1:7" x14ac:dyDescent="0.25">
      <c r="A513" s="148" t="s">
        <v>1525</v>
      </c>
      <c r="B513" s="148" t="s">
        <v>1536</v>
      </c>
      <c r="C513" s="148" t="s">
        <v>1523</v>
      </c>
      <c r="D513" s="148" t="s">
        <v>1530</v>
      </c>
      <c r="E513" s="152">
        <v>40246</v>
      </c>
      <c r="F513" s="149">
        <v>15</v>
      </c>
      <c r="G513" s="153">
        <v>4815</v>
      </c>
    </row>
    <row r="514" spans="1:7" x14ac:dyDescent="0.25">
      <c r="A514" s="148" t="s">
        <v>1516</v>
      </c>
      <c r="B514" s="148" t="s">
        <v>1536</v>
      </c>
      <c r="C514" s="148" t="s">
        <v>1523</v>
      </c>
      <c r="D514" s="148" t="s">
        <v>1530</v>
      </c>
      <c r="E514" s="152">
        <v>40541</v>
      </c>
      <c r="F514" s="149">
        <v>15</v>
      </c>
      <c r="G514" s="149">
        <v>4770</v>
      </c>
    </row>
    <row r="515" spans="1:7" x14ac:dyDescent="0.25">
      <c r="A515" s="148" t="s">
        <v>1524</v>
      </c>
      <c r="B515" s="148" t="s">
        <v>1536</v>
      </c>
      <c r="C515" s="148" t="s">
        <v>1523</v>
      </c>
      <c r="D515" s="148" t="s">
        <v>1530</v>
      </c>
      <c r="E515" s="152">
        <v>40634</v>
      </c>
      <c r="F515" s="149">
        <v>15</v>
      </c>
      <c r="G515" s="149">
        <v>6570</v>
      </c>
    </row>
    <row r="516" spans="1:7" x14ac:dyDescent="0.25">
      <c r="A516" s="148" t="s">
        <v>1529</v>
      </c>
      <c r="B516" s="148" t="s">
        <v>1536</v>
      </c>
      <c r="C516" s="148" t="s">
        <v>1519</v>
      </c>
      <c r="D516" s="148" t="s">
        <v>1530</v>
      </c>
      <c r="E516" s="152">
        <v>40880</v>
      </c>
      <c r="F516" s="149">
        <v>15</v>
      </c>
      <c r="G516" s="149">
        <v>4665</v>
      </c>
    </row>
    <row r="517" spans="1:7" x14ac:dyDescent="0.25">
      <c r="A517" s="148" t="s">
        <v>1518</v>
      </c>
      <c r="B517" s="148" t="s">
        <v>1536</v>
      </c>
      <c r="C517" s="148" t="s">
        <v>1517</v>
      </c>
      <c r="D517" s="148" t="s">
        <v>1530</v>
      </c>
      <c r="E517" s="152">
        <v>40519</v>
      </c>
      <c r="F517" s="149">
        <v>15</v>
      </c>
      <c r="G517" s="149">
        <v>9435</v>
      </c>
    </row>
    <row r="518" spans="1:7" x14ac:dyDescent="0.25">
      <c r="A518" s="148" t="s">
        <v>1518</v>
      </c>
      <c r="B518" s="148" t="s">
        <v>1536</v>
      </c>
      <c r="C518" s="148" t="s">
        <v>1519</v>
      </c>
      <c r="D518" s="148" t="s">
        <v>1528</v>
      </c>
      <c r="E518" s="152">
        <v>40393</v>
      </c>
      <c r="F518" s="149">
        <v>15</v>
      </c>
      <c r="G518" s="149">
        <v>7230</v>
      </c>
    </row>
    <row r="519" spans="1:7" x14ac:dyDescent="0.25">
      <c r="A519" s="148" t="s">
        <v>1518</v>
      </c>
      <c r="B519" s="148" t="s">
        <v>1536</v>
      </c>
      <c r="C519" s="148" t="s">
        <v>1523</v>
      </c>
      <c r="D519" s="148" t="s">
        <v>1513</v>
      </c>
      <c r="E519" s="152">
        <v>40550</v>
      </c>
      <c r="F519" s="149">
        <v>16</v>
      </c>
      <c r="G519" s="149">
        <v>5296</v>
      </c>
    </row>
    <row r="520" spans="1:7" x14ac:dyDescent="0.25">
      <c r="A520" s="148" t="s">
        <v>1529</v>
      </c>
      <c r="B520" s="148" t="s">
        <v>1536</v>
      </c>
      <c r="C520" s="148" t="s">
        <v>1523</v>
      </c>
      <c r="D520" s="148" t="s">
        <v>1513</v>
      </c>
      <c r="E520" s="152">
        <v>40689</v>
      </c>
      <c r="F520" s="149">
        <v>17</v>
      </c>
      <c r="G520" s="149">
        <v>6528</v>
      </c>
    </row>
    <row r="521" spans="1:7" x14ac:dyDescent="0.25">
      <c r="A521" s="148" t="s">
        <v>1527</v>
      </c>
      <c r="B521" s="148" t="s">
        <v>1536</v>
      </c>
      <c r="C521" s="148" t="s">
        <v>1523</v>
      </c>
      <c r="D521" s="148" t="s">
        <v>1513</v>
      </c>
      <c r="E521" s="152">
        <v>40747</v>
      </c>
      <c r="F521" s="149">
        <v>17</v>
      </c>
      <c r="G521" s="149">
        <v>8585</v>
      </c>
    </row>
    <row r="522" spans="1:7" x14ac:dyDescent="0.25">
      <c r="A522" s="148" t="s">
        <v>1525</v>
      </c>
      <c r="B522" s="148" t="s">
        <v>1536</v>
      </c>
      <c r="C522" s="148" t="s">
        <v>1514</v>
      </c>
      <c r="D522" s="148" t="s">
        <v>1513</v>
      </c>
      <c r="E522" s="152">
        <v>40729</v>
      </c>
      <c r="F522" s="149">
        <v>17</v>
      </c>
      <c r="G522" s="149">
        <v>8228</v>
      </c>
    </row>
    <row r="523" spans="1:7" x14ac:dyDescent="0.25">
      <c r="A523" s="148" t="s">
        <v>1534</v>
      </c>
      <c r="B523" s="148" t="s">
        <v>1536</v>
      </c>
      <c r="C523" s="148" t="s">
        <v>1523</v>
      </c>
      <c r="D523" s="148" t="s">
        <v>1513</v>
      </c>
      <c r="E523" s="152">
        <v>40455</v>
      </c>
      <c r="F523" s="149">
        <v>18</v>
      </c>
      <c r="G523" s="149">
        <v>5670</v>
      </c>
    </row>
    <row r="524" spans="1:7" x14ac:dyDescent="0.25">
      <c r="A524" s="148" t="s">
        <v>1532</v>
      </c>
      <c r="B524" s="148" t="s">
        <v>1536</v>
      </c>
      <c r="C524" s="148" t="s">
        <v>1523</v>
      </c>
      <c r="D524" s="148" t="s">
        <v>1513</v>
      </c>
      <c r="E524" s="152">
        <v>40841</v>
      </c>
      <c r="F524" s="149">
        <v>18</v>
      </c>
      <c r="G524" s="149">
        <v>5958</v>
      </c>
    </row>
    <row r="525" spans="1:7" x14ac:dyDescent="0.25">
      <c r="A525" s="148" t="s">
        <v>1525</v>
      </c>
      <c r="B525" s="148" t="s">
        <v>1536</v>
      </c>
      <c r="C525" s="148" t="s">
        <v>1514</v>
      </c>
      <c r="D525" s="148" t="s">
        <v>1513</v>
      </c>
      <c r="E525" s="152">
        <v>40336</v>
      </c>
      <c r="F525" s="149">
        <v>18</v>
      </c>
      <c r="G525" s="149">
        <v>11484</v>
      </c>
    </row>
    <row r="526" spans="1:7" x14ac:dyDescent="0.25">
      <c r="A526" s="148" t="s">
        <v>1516</v>
      </c>
      <c r="B526" s="148" t="s">
        <v>1536</v>
      </c>
      <c r="C526" s="148" t="s">
        <v>1523</v>
      </c>
      <c r="D526" s="148" t="s">
        <v>1513</v>
      </c>
      <c r="E526" s="152">
        <v>40533</v>
      </c>
      <c r="F526" s="149">
        <v>19</v>
      </c>
      <c r="G526" s="149">
        <v>6536</v>
      </c>
    </row>
    <row r="527" spans="1:7" x14ac:dyDescent="0.25">
      <c r="A527" s="148" t="s">
        <v>1526</v>
      </c>
      <c r="B527" s="148" t="s">
        <v>1536</v>
      </c>
      <c r="C527" s="148" t="s">
        <v>1523</v>
      </c>
      <c r="D527" s="148" t="s">
        <v>1513</v>
      </c>
      <c r="E527" s="152">
        <v>40392</v>
      </c>
      <c r="F527" s="149">
        <v>20</v>
      </c>
      <c r="G527" s="149">
        <v>8580</v>
      </c>
    </row>
    <row r="528" spans="1:7" x14ac:dyDescent="0.25">
      <c r="A528" s="148" t="s">
        <v>1527</v>
      </c>
      <c r="B528" s="148" t="s">
        <v>1536</v>
      </c>
      <c r="C528" s="148" t="s">
        <v>1523</v>
      </c>
      <c r="D528" s="148" t="s">
        <v>1513</v>
      </c>
      <c r="E528" s="152">
        <v>40801</v>
      </c>
      <c r="F528" s="149">
        <v>20</v>
      </c>
      <c r="G528" s="149">
        <v>10620</v>
      </c>
    </row>
    <row r="529" spans="1:7" x14ac:dyDescent="0.25">
      <c r="A529" s="148" t="s">
        <v>1527</v>
      </c>
      <c r="B529" s="148" t="s">
        <v>1536</v>
      </c>
      <c r="C529" s="148" t="s">
        <v>1519</v>
      </c>
      <c r="D529" s="148" t="s">
        <v>1513</v>
      </c>
      <c r="E529" s="152">
        <v>40548</v>
      </c>
      <c r="F529" s="149">
        <v>20</v>
      </c>
      <c r="G529" s="149">
        <v>6920</v>
      </c>
    </row>
    <row r="530" spans="1:7" x14ac:dyDescent="0.25">
      <c r="A530" s="148" t="s">
        <v>1527</v>
      </c>
      <c r="B530" s="148" t="s">
        <v>1536</v>
      </c>
      <c r="C530" s="148" t="s">
        <v>1517</v>
      </c>
      <c r="D530" s="148" t="s">
        <v>1513</v>
      </c>
      <c r="E530" s="152">
        <v>40537</v>
      </c>
      <c r="F530" s="149">
        <v>20</v>
      </c>
      <c r="G530" s="149">
        <v>7060</v>
      </c>
    </row>
    <row r="531" spans="1:7" x14ac:dyDescent="0.25">
      <c r="A531" s="148" t="s">
        <v>1524</v>
      </c>
      <c r="B531" s="148" t="s">
        <v>1536</v>
      </c>
      <c r="C531" s="148" t="s">
        <v>1517</v>
      </c>
      <c r="D531" s="148" t="s">
        <v>1513</v>
      </c>
      <c r="E531" s="152">
        <v>40806</v>
      </c>
      <c r="F531" s="149">
        <v>20</v>
      </c>
      <c r="G531" s="149">
        <v>11260</v>
      </c>
    </row>
    <row r="532" spans="1:7" x14ac:dyDescent="0.25">
      <c r="A532" s="148" t="s">
        <v>1521</v>
      </c>
      <c r="B532" s="148" t="s">
        <v>1535</v>
      </c>
      <c r="C532" s="148" t="s">
        <v>1523</v>
      </c>
      <c r="D532" s="148" t="s">
        <v>1533</v>
      </c>
      <c r="E532" s="152">
        <v>40621</v>
      </c>
      <c r="F532" s="149">
        <v>1</v>
      </c>
      <c r="G532" s="149">
        <v>1169</v>
      </c>
    </row>
    <row r="533" spans="1:7" x14ac:dyDescent="0.25">
      <c r="A533" s="148" t="s">
        <v>1516</v>
      </c>
      <c r="B533" s="148" t="s">
        <v>1535</v>
      </c>
      <c r="C533" s="148" t="s">
        <v>1519</v>
      </c>
      <c r="D533" s="148" t="s">
        <v>1533</v>
      </c>
      <c r="E533" s="152">
        <v>40462</v>
      </c>
      <c r="F533" s="149">
        <v>1</v>
      </c>
      <c r="G533" s="149">
        <v>1376</v>
      </c>
    </row>
    <row r="534" spans="1:7" x14ac:dyDescent="0.25">
      <c r="A534" s="148" t="s">
        <v>1521</v>
      </c>
      <c r="B534" s="148" t="s">
        <v>1535</v>
      </c>
      <c r="C534" s="148" t="s">
        <v>1514</v>
      </c>
      <c r="D534" s="148" t="s">
        <v>1533</v>
      </c>
      <c r="E534" s="152">
        <v>40323</v>
      </c>
      <c r="F534" s="149">
        <v>1</v>
      </c>
      <c r="G534" s="149">
        <v>1466</v>
      </c>
    </row>
    <row r="535" spans="1:7" x14ac:dyDescent="0.25">
      <c r="A535" s="148" t="s">
        <v>1516</v>
      </c>
      <c r="B535" s="148" t="s">
        <v>1535</v>
      </c>
      <c r="C535" s="148" t="s">
        <v>1514</v>
      </c>
      <c r="D535" s="148" t="s">
        <v>1533</v>
      </c>
      <c r="E535" s="152">
        <v>40849</v>
      </c>
      <c r="F535" s="149">
        <v>1</v>
      </c>
      <c r="G535" s="149">
        <v>1363</v>
      </c>
    </row>
    <row r="536" spans="1:7" x14ac:dyDescent="0.25">
      <c r="A536" s="148" t="s">
        <v>1529</v>
      </c>
      <c r="B536" s="148" t="s">
        <v>1535</v>
      </c>
      <c r="C536" s="148" t="s">
        <v>1523</v>
      </c>
      <c r="D536" s="148" t="s">
        <v>1531</v>
      </c>
      <c r="E536" s="152">
        <v>40855</v>
      </c>
      <c r="F536" s="149">
        <v>1</v>
      </c>
      <c r="G536" s="149">
        <v>718</v>
      </c>
    </row>
    <row r="537" spans="1:7" x14ac:dyDescent="0.25">
      <c r="A537" s="148" t="s">
        <v>1524</v>
      </c>
      <c r="B537" s="148" t="s">
        <v>1535</v>
      </c>
      <c r="C537" s="148" t="s">
        <v>1519</v>
      </c>
      <c r="D537" s="148" t="s">
        <v>1531</v>
      </c>
      <c r="E537" s="152">
        <v>40574</v>
      </c>
      <c r="F537" s="149">
        <v>1</v>
      </c>
      <c r="G537" s="149">
        <v>1220</v>
      </c>
    </row>
    <row r="538" spans="1:7" x14ac:dyDescent="0.25">
      <c r="A538" s="148" t="s">
        <v>1529</v>
      </c>
      <c r="B538" s="148" t="s">
        <v>1535</v>
      </c>
      <c r="C538" s="148" t="s">
        <v>1517</v>
      </c>
      <c r="D538" s="148" t="s">
        <v>1531</v>
      </c>
      <c r="E538" s="152">
        <v>40297</v>
      </c>
      <c r="F538" s="149">
        <v>1</v>
      </c>
      <c r="G538" s="149">
        <v>1372</v>
      </c>
    </row>
    <row r="539" spans="1:7" x14ac:dyDescent="0.25">
      <c r="A539" s="148" t="s">
        <v>1529</v>
      </c>
      <c r="B539" s="148" t="s">
        <v>1535</v>
      </c>
      <c r="C539" s="148" t="s">
        <v>1517</v>
      </c>
      <c r="D539" s="148" t="s">
        <v>1531</v>
      </c>
      <c r="E539" s="152">
        <v>40534</v>
      </c>
      <c r="F539" s="149">
        <v>1</v>
      </c>
      <c r="G539" s="149">
        <v>573</v>
      </c>
    </row>
    <row r="540" spans="1:7" x14ac:dyDescent="0.25">
      <c r="A540" s="148" t="s">
        <v>1518</v>
      </c>
      <c r="B540" s="148" t="s">
        <v>1535</v>
      </c>
      <c r="C540" s="148" t="s">
        <v>1514</v>
      </c>
      <c r="D540" s="148" t="s">
        <v>1531</v>
      </c>
      <c r="E540" s="152">
        <v>40578</v>
      </c>
      <c r="F540" s="149">
        <v>1</v>
      </c>
      <c r="G540" s="149">
        <v>771</v>
      </c>
    </row>
    <row r="541" spans="1:7" x14ac:dyDescent="0.25">
      <c r="A541" s="148" t="s">
        <v>1520</v>
      </c>
      <c r="B541" s="148" t="s">
        <v>1535</v>
      </c>
      <c r="C541" s="148" t="s">
        <v>1523</v>
      </c>
      <c r="D541" s="148" t="s">
        <v>1530</v>
      </c>
      <c r="E541" s="152">
        <v>40464</v>
      </c>
      <c r="F541" s="149">
        <v>1</v>
      </c>
      <c r="G541" s="149">
        <v>986</v>
      </c>
    </row>
    <row r="542" spans="1:7" x14ac:dyDescent="0.25">
      <c r="A542" s="148" t="s">
        <v>1529</v>
      </c>
      <c r="B542" s="148" t="s">
        <v>1535</v>
      </c>
      <c r="C542" s="148" t="s">
        <v>1519</v>
      </c>
      <c r="D542" s="148" t="s">
        <v>1530</v>
      </c>
      <c r="E542" s="152">
        <v>40800</v>
      </c>
      <c r="F542" s="149">
        <v>1</v>
      </c>
      <c r="G542" s="149">
        <v>778</v>
      </c>
    </row>
    <row r="543" spans="1:7" x14ac:dyDescent="0.25">
      <c r="A543" s="148" t="s">
        <v>1521</v>
      </c>
      <c r="B543" s="148" t="s">
        <v>1535</v>
      </c>
      <c r="C543" s="148" t="s">
        <v>1517</v>
      </c>
      <c r="D543" s="148" t="s">
        <v>1530</v>
      </c>
      <c r="E543" s="152">
        <v>40539</v>
      </c>
      <c r="F543" s="149">
        <v>1</v>
      </c>
      <c r="G543" s="149">
        <v>885</v>
      </c>
    </row>
    <row r="544" spans="1:7" x14ac:dyDescent="0.25">
      <c r="A544" s="148" t="s">
        <v>1529</v>
      </c>
      <c r="B544" s="148" t="s">
        <v>1535</v>
      </c>
      <c r="C544" s="148" t="s">
        <v>1523</v>
      </c>
      <c r="D544" s="148" t="s">
        <v>1528</v>
      </c>
      <c r="E544" s="152">
        <v>40547</v>
      </c>
      <c r="F544" s="149">
        <v>1</v>
      </c>
      <c r="G544" s="149">
        <v>962</v>
      </c>
    </row>
    <row r="545" spans="1:7" x14ac:dyDescent="0.25">
      <c r="A545" s="148" t="s">
        <v>1518</v>
      </c>
      <c r="B545" s="148" t="s">
        <v>1535</v>
      </c>
      <c r="C545" s="148" t="s">
        <v>1517</v>
      </c>
      <c r="D545" s="148" t="s">
        <v>1528</v>
      </c>
      <c r="E545" s="152">
        <v>40427</v>
      </c>
      <c r="F545" s="149">
        <v>1</v>
      </c>
      <c r="G545" s="149">
        <v>1348</v>
      </c>
    </row>
    <row r="546" spans="1:7" x14ac:dyDescent="0.25">
      <c r="A546" s="148" t="s">
        <v>1525</v>
      </c>
      <c r="B546" s="148" t="s">
        <v>1535</v>
      </c>
      <c r="C546" s="148" t="s">
        <v>1517</v>
      </c>
      <c r="D546" s="148" t="s">
        <v>1528</v>
      </c>
      <c r="E546" s="152">
        <v>40764</v>
      </c>
      <c r="F546" s="149">
        <v>1</v>
      </c>
      <c r="G546" s="149">
        <v>519</v>
      </c>
    </row>
    <row r="547" spans="1:7" x14ac:dyDescent="0.25">
      <c r="A547" s="148" t="s">
        <v>1526</v>
      </c>
      <c r="B547" s="148" t="s">
        <v>1535</v>
      </c>
      <c r="C547" s="148" t="s">
        <v>1514</v>
      </c>
      <c r="D547" s="148" t="s">
        <v>1528</v>
      </c>
      <c r="E547" s="152">
        <v>40252</v>
      </c>
      <c r="F547" s="149">
        <v>1</v>
      </c>
      <c r="G547" s="153">
        <v>1065</v>
      </c>
    </row>
    <row r="548" spans="1:7" x14ac:dyDescent="0.25">
      <c r="A548" s="148" t="s">
        <v>1518</v>
      </c>
      <c r="B548" s="148" t="s">
        <v>1535</v>
      </c>
      <c r="C548" s="148" t="s">
        <v>1523</v>
      </c>
      <c r="D548" s="148" t="s">
        <v>1533</v>
      </c>
      <c r="E548" s="152">
        <v>40372</v>
      </c>
      <c r="F548" s="149">
        <v>2</v>
      </c>
      <c r="G548" s="149">
        <v>1446</v>
      </c>
    </row>
    <row r="549" spans="1:7" x14ac:dyDescent="0.25">
      <c r="A549" s="148" t="s">
        <v>1522</v>
      </c>
      <c r="B549" s="148" t="s">
        <v>1535</v>
      </c>
      <c r="C549" s="148" t="s">
        <v>1519</v>
      </c>
      <c r="D549" s="148" t="s">
        <v>1533</v>
      </c>
      <c r="E549" s="152">
        <v>40558</v>
      </c>
      <c r="F549" s="149">
        <v>2</v>
      </c>
      <c r="G549" s="149">
        <v>2310</v>
      </c>
    </row>
    <row r="550" spans="1:7" x14ac:dyDescent="0.25">
      <c r="A550" s="148" t="s">
        <v>1518</v>
      </c>
      <c r="B550" s="148" t="s">
        <v>1535</v>
      </c>
      <c r="C550" s="148" t="s">
        <v>1519</v>
      </c>
      <c r="D550" s="148" t="s">
        <v>1533</v>
      </c>
      <c r="E550" s="152">
        <v>40792</v>
      </c>
      <c r="F550" s="149">
        <v>2</v>
      </c>
      <c r="G550" s="149">
        <v>1948</v>
      </c>
    </row>
    <row r="551" spans="1:7" x14ac:dyDescent="0.25">
      <c r="A551" s="148" t="s">
        <v>1520</v>
      </c>
      <c r="B551" s="148" t="s">
        <v>1535</v>
      </c>
      <c r="C551" s="148" t="s">
        <v>1519</v>
      </c>
      <c r="D551" s="148" t="s">
        <v>1531</v>
      </c>
      <c r="E551" s="152">
        <v>40683</v>
      </c>
      <c r="F551" s="149">
        <v>2</v>
      </c>
      <c r="G551" s="149">
        <v>2028</v>
      </c>
    </row>
    <row r="552" spans="1:7" x14ac:dyDescent="0.25">
      <c r="A552" s="148" t="s">
        <v>1524</v>
      </c>
      <c r="B552" s="148" t="s">
        <v>1535</v>
      </c>
      <c r="C552" s="148" t="s">
        <v>1517</v>
      </c>
      <c r="D552" s="148" t="s">
        <v>1531</v>
      </c>
      <c r="E552" s="152">
        <v>40610</v>
      </c>
      <c r="F552" s="149">
        <v>2</v>
      </c>
      <c r="G552" s="149">
        <v>2948</v>
      </c>
    </row>
    <row r="553" spans="1:7" x14ac:dyDescent="0.25">
      <c r="A553" s="148" t="s">
        <v>1518</v>
      </c>
      <c r="B553" s="148" t="s">
        <v>1535</v>
      </c>
      <c r="C553" s="148" t="s">
        <v>1514</v>
      </c>
      <c r="D553" s="148" t="s">
        <v>1531</v>
      </c>
      <c r="E553" s="152">
        <v>40463</v>
      </c>
      <c r="F553" s="149">
        <v>2</v>
      </c>
      <c r="G553" s="149">
        <v>2636</v>
      </c>
    </row>
    <row r="554" spans="1:7" x14ac:dyDescent="0.25">
      <c r="A554" s="148" t="s">
        <v>1526</v>
      </c>
      <c r="B554" s="148" t="s">
        <v>1535</v>
      </c>
      <c r="C554" s="148" t="s">
        <v>1514</v>
      </c>
      <c r="D554" s="148" t="s">
        <v>1531</v>
      </c>
      <c r="E554" s="152">
        <v>40634</v>
      </c>
      <c r="F554" s="149">
        <v>2</v>
      </c>
      <c r="G554" s="149">
        <v>2658</v>
      </c>
    </row>
    <row r="555" spans="1:7" x14ac:dyDescent="0.25">
      <c r="A555" s="148" t="s">
        <v>1526</v>
      </c>
      <c r="B555" s="148" t="s">
        <v>1535</v>
      </c>
      <c r="C555" s="148" t="s">
        <v>1523</v>
      </c>
      <c r="D555" s="148" t="s">
        <v>1530</v>
      </c>
      <c r="E555" s="152">
        <v>40421</v>
      </c>
      <c r="F555" s="149">
        <v>2</v>
      </c>
      <c r="G555" s="149">
        <v>1762</v>
      </c>
    </row>
    <row r="556" spans="1:7" x14ac:dyDescent="0.25">
      <c r="A556" s="148" t="s">
        <v>1524</v>
      </c>
      <c r="B556" s="148" t="s">
        <v>1535</v>
      </c>
      <c r="C556" s="148" t="s">
        <v>1519</v>
      </c>
      <c r="D556" s="148" t="s">
        <v>1530</v>
      </c>
      <c r="E556" s="152">
        <v>40570</v>
      </c>
      <c r="F556" s="149">
        <v>2</v>
      </c>
      <c r="G556" s="149">
        <v>2058</v>
      </c>
    </row>
    <row r="557" spans="1:7" x14ac:dyDescent="0.25">
      <c r="A557" s="148" t="s">
        <v>1521</v>
      </c>
      <c r="B557" s="148" t="s">
        <v>1535</v>
      </c>
      <c r="C557" s="148" t="s">
        <v>1523</v>
      </c>
      <c r="D557" s="148" t="s">
        <v>1528</v>
      </c>
      <c r="E557" s="152">
        <v>40745</v>
      </c>
      <c r="F557" s="149">
        <v>2</v>
      </c>
      <c r="G557" s="149">
        <v>1608</v>
      </c>
    </row>
    <row r="558" spans="1:7" x14ac:dyDescent="0.25">
      <c r="A558" s="148" t="s">
        <v>1516</v>
      </c>
      <c r="B558" s="148" t="s">
        <v>1535</v>
      </c>
      <c r="C558" s="148" t="s">
        <v>1519</v>
      </c>
      <c r="D558" s="148" t="s">
        <v>1528</v>
      </c>
      <c r="E558" s="152">
        <v>40687</v>
      </c>
      <c r="F558" s="149">
        <v>2</v>
      </c>
      <c r="G558" s="149">
        <v>1152</v>
      </c>
    </row>
    <row r="559" spans="1:7" x14ac:dyDescent="0.25">
      <c r="A559" s="148" t="s">
        <v>1524</v>
      </c>
      <c r="B559" s="148" t="s">
        <v>1535</v>
      </c>
      <c r="C559" s="148" t="s">
        <v>1519</v>
      </c>
      <c r="D559" s="148" t="s">
        <v>1533</v>
      </c>
      <c r="E559" s="152">
        <v>40593</v>
      </c>
      <c r="F559" s="149">
        <v>3</v>
      </c>
      <c r="G559" s="149">
        <v>2637</v>
      </c>
    </row>
    <row r="560" spans="1:7" x14ac:dyDescent="0.25">
      <c r="A560" s="148" t="s">
        <v>1521</v>
      </c>
      <c r="B560" s="148" t="s">
        <v>1535</v>
      </c>
      <c r="C560" s="148" t="s">
        <v>1517</v>
      </c>
      <c r="D560" s="148" t="s">
        <v>1533</v>
      </c>
      <c r="E560" s="152">
        <v>40515</v>
      </c>
      <c r="F560" s="149">
        <v>3</v>
      </c>
      <c r="G560" s="149">
        <v>3351</v>
      </c>
    </row>
    <row r="561" spans="1:7" x14ac:dyDescent="0.25">
      <c r="A561" s="148" t="s">
        <v>1516</v>
      </c>
      <c r="B561" s="148" t="s">
        <v>1535</v>
      </c>
      <c r="C561" s="148" t="s">
        <v>1517</v>
      </c>
      <c r="D561" s="148" t="s">
        <v>1533</v>
      </c>
      <c r="E561" s="152">
        <v>40729</v>
      </c>
      <c r="F561" s="149">
        <v>3</v>
      </c>
      <c r="G561" s="149">
        <v>2646</v>
      </c>
    </row>
    <row r="562" spans="1:7" x14ac:dyDescent="0.25">
      <c r="A562" s="148" t="s">
        <v>1527</v>
      </c>
      <c r="B562" s="148" t="s">
        <v>1535</v>
      </c>
      <c r="C562" s="148" t="s">
        <v>1523</v>
      </c>
      <c r="D562" s="148" t="s">
        <v>1531</v>
      </c>
      <c r="E562" s="152">
        <v>40740</v>
      </c>
      <c r="F562" s="149">
        <v>3</v>
      </c>
      <c r="G562" s="149">
        <v>3444</v>
      </c>
    </row>
    <row r="563" spans="1:7" x14ac:dyDescent="0.25">
      <c r="A563" s="148" t="s">
        <v>1526</v>
      </c>
      <c r="B563" s="148" t="s">
        <v>1535</v>
      </c>
      <c r="C563" s="148" t="s">
        <v>1519</v>
      </c>
      <c r="D563" s="148" t="s">
        <v>1531</v>
      </c>
      <c r="E563" s="152">
        <v>40444</v>
      </c>
      <c r="F563" s="149">
        <v>3</v>
      </c>
      <c r="G563" s="149">
        <v>2760</v>
      </c>
    </row>
    <row r="564" spans="1:7" x14ac:dyDescent="0.25">
      <c r="A564" s="148" t="s">
        <v>1516</v>
      </c>
      <c r="B564" s="148" t="s">
        <v>1535</v>
      </c>
      <c r="C564" s="148" t="s">
        <v>1517</v>
      </c>
      <c r="D564" s="148" t="s">
        <v>1531</v>
      </c>
      <c r="E564" s="152">
        <v>40400</v>
      </c>
      <c r="F564" s="149">
        <v>3</v>
      </c>
      <c r="G564" s="149">
        <v>2202</v>
      </c>
    </row>
    <row r="565" spans="1:7" x14ac:dyDescent="0.25">
      <c r="A565" s="148" t="s">
        <v>1520</v>
      </c>
      <c r="B565" s="148" t="s">
        <v>1535</v>
      </c>
      <c r="C565" s="148" t="s">
        <v>1517</v>
      </c>
      <c r="D565" s="148" t="s">
        <v>1531</v>
      </c>
      <c r="E565" s="152">
        <v>40533</v>
      </c>
      <c r="F565" s="149">
        <v>3</v>
      </c>
      <c r="G565" s="149">
        <v>4452</v>
      </c>
    </row>
    <row r="566" spans="1:7" x14ac:dyDescent="0.25">
      <c r="A566" s="148" t="s">
        <v>1524</v>
      </c>
      <c r="B566" s="148" t="s">
        <v>1535</v>
      </c>
      <c r="C566" s="148" t="s">
        <v>1523</v>
      </c>
      <c r="D566" s="148" t="s">
        <v>1530</v>
      </c>
      <c r="E566" s="152">
        <v>40577</v>
      </c>
      <c r="F566" s="149">
        <v>3</v>
      </c>
      <c r="G566" s="149">
        <v>1581</v>
      </c>
    </row>
    <row r="567" spans="1:7" x14ac:dyDescent="0.25">
      <c r="A567" s="148" t="s">
        <v>1527</v>
      </c>
      <c r="B567" s="148" t="s">
        <v>1535</v>
      </c>
      <c r="C567" s="148" t="s">
        <v>1519</v>
      </c>
      <c r="D567" s="148" t="s">
        <v>1530</v>
      </c>
      <c r="E567" s="152">
        <v>40348</v>
      </c>
      <c r="F567" s="149">
        <v>3</v>
      </c>
      <c r="G567" s="149">
        <v>1665</v>
      </c>
    </row>
    <row r="568" spans="1:7" x14ac:dyDescent="0.25">
      <c r="A568" s="148" t="s">
        <v>1526</v>
      </c>
      <c r="B568" s="148" t="s">
        <v>1535</v>
      </c>
      <c r="C568" s="148" t="s">
        <v>1517</v>
      </c>
      <c r="D568" s="148" t="s">
        <v>1530</v>
      </c>
      <c r="E568" s="152">
        <v>40310</v>
      </c>
      <c r="F568" s="149">
        <v>3</v>
      </c>
      <c r="G568" s="149">
        <v>2862</v>
      </c>
    </row>
    <row r="569" spans="1:7" x14ac:dyDescent="0.25">
      <c r="A569" s="148" t="s">
        <v>1521</v>
      </c>
      <c r="B569" s="148" t="s">
        <v>1535</v>
      </c>
      <c r="C569" s="148" t="s">
        <v>1514</v>
      </c>
      <c r="D569" s="148" t="s">
        <v>1530</v>
      </c>
      <c r="E569" s="152">
        <v>40759</v>
      </c>
      <c r="F569" s="149">
        <v>3</v>
      </c>
      <c r="G569" s="149">
        <v>4461</v>
      </c>
    </row>
    <row r="570" spans="1:7" x14ac:dyDescent="0.25">
      <c r="A570" s="148" t="s">
        <v>1526</v>
      </c>
      <c r="B570" s="148" t="s">
        <v>1535</v>
      </c>
      <c r="C570" s="148" t="s">
        <v>1519</v>
      </c>
      <c r="D570" s="148" t="s">
        <v>1528</v>
      </c>
      <c r="E570" s="152">
        <v>40736</v>
      </c>
      <c r="F570" s="149">
        <v>3</v>
      </c>
      <c r="G570" s="149">
        <v>1767</v>
      </c>
    </row>
    <row r="571" spans="1:7" x14ac:dyDescent="0.25">
      <c r="A571" s="148" t="s">
        <v>1526</v>
      </c>
      <c r="B571" s="148" t="s">
        <v>1535</v>
      </c>
      <c r="C571" s="148" t="s">
        <v>1514</v>
      </c>
      <c r="D571" s="148" t="s">
        <v>1528</v>
      </c>
      <c r="E571" s="152">
        <v>40421</v>
      </c>
      <c r="F571" s="149">
        <v>3</v>
      </c>
      <c r="G571" s="149">
        <v>1590</v>
      </c>
    </row>
    <row r="572" spans="1:7" x14ac:dyDescent="0.25">
      <c r="A572" s="148" t="s">
        <v>1521</v>
      </c>
      <c r="B572" s="148" t="s">
        <v>1535</v>
      </c>
      <c r="C572" s="148" t="s">
        <v>1514</v>
      </c>
      <c r="D572" s="148" t="s">
        <v>1528</v>
      </c>
      <c r="E572" s="152">
        <v>40693</v>
      </c>
      <c r="F572" s="149">
        <v>3</v>
      </c>
      <c r="G572" s="149">
        <v>3441</v>
      </c>
    </row>
    <row r="573" spans="1:7" x14ac:dyDescent="0.25">
      <c r="A573" s="148" t="s">
        <v>1527</v>
      </c>
      <c r="B573" s="148" t="s">
        <v>1535</v>
      </c>
      <c r="C573" s="148" t="s">
        <v>1514</v>
      </c>
      <c r="D573" s="148" t="s">
        <v>1528</v>
      </c>
      <c r="E573" s="152">
        <v>40716</v>
      </c>
      <c r="F573" s="149">
        <v>3</v>
      </c>
      <c r="G573" s="149">
        <v>1614</v>
      </c>
    </row>
    <row r="574" spans="1:7" x14ac:dyDescent="0.25">
      <c r="A574" s="148" t="s">
        <v>1518</v>
      </c>
      <c r="B574" s="148" t="s">
        <v>1535</v>
      </c>
      <c r="C574" s="148" t="s">
        <v>1523</v>
      </c>
      <c r="D574" s="148" t="s">
        <v>1533</v>
      </c>
      <c r="E574" s="152">
        <v>40456</v>
      </c>
      <c r="F574" s="149">
        <v>4</v>
      </c>
      <c r="G574" s="149">
        <v>5128</v>
      </c>
    </row>
    <row r="575" spans="1:7" x14ac:dyDescent="0.25">
      <c r="A575" s="148" t="s">
        <v>1527</v>
      </c>
      <c r="B575" s="148" t="s">
        <v>1535</v>
      </c>
      <c r="C575" s="148" t="s">
        <v>1523</v>
      </c>
      <c r="D575" s="148" t="s">
        <v>1533</v>
      </c>
      <c r="E575" s="152">
        <v>40724</v>
      </c>
      <c r="F575" s="149">
        <v>4</v>
      </c>
      <c r="G575" s="149">
        <v>2312</v>
      </c>
    </row>
    <row r="576" spans="1:7" x14ac:dyDescent="0.25">
      <c r="A576" s="148" t="s">
        <v>1529</v>
      </c>
      <c r="B576" s="148" t="s">
        <v>1535</v>
      </c>
      <c r="C576" s="148" t="s">
        <v>1519</v>
      </c>
      <c r="D576" s="148" t="s">
        <v>1533</v>
      </c>
      <c r="E576" s="152">
        <v>40464</v>
      </c>
      <c r="F576" s="149">
        <v>4</v>
      </c>
      <c r="G576" s="149">
        <v>3672</v>
      </c>
    </row>
    <row r="577" spans="1:7" x14ac:dyDescent="0.25">
      <c r="A577" s="148" t="s">
        <v>1521</v>
      </c>
      <c r="B577" s="148" t="s">
        <v>1535</v>
      </c>
      <c r="C577" s="148" t="s">
        <v>1514</v>
      </c>
      <c r="D577" s="148" t="s">
        <v>1533</v>
      </c>
      <c r="E577" s="152">
        <v>40722</v>
      </c>
      <c r="F577" s="149">
        <v>4</v>
      </c>
      <c r="G577" s="149">
        <v>5280</v>
      </c>
    </row>
    <row r="578" spans="1:7" x14ac:dyDescent="0.25">
      <c r="A578" s="148" t="s">
        <v>1522</v>
      </c>
      <c r="B578" s="148" t="s">
        <v>1535</v>
      </c>
      <c r="C578" s="148" t="s">
        <v>1519</v>
      </c>
      <c r="D578" s="148" t="s">
        <v>1531</v>
      </c>
      <c r="E578" s="152">
        <v>40502</v>
      </c>
      <c r="F578" s="149">
        <v>4</v>
      </c>
      <c r="G578" s="149">
        <v>3088</v>
      </c>
    </row>
    <row r="579" spans="1:7" x14ac:dyDescent="0.25">
      <c r="A579" s="148" t="s">
        <v>1524</v>
      </c>
      <c r="B579" s="148" t="s">
        <v>1535</v>
      </c>
      <c r="C579" s="148" t="s">
        <v>1514</v>
      </c>
      <c r="D579" s="148" t="s">
        <v>1531</v>
      </c>
      <c r="E579" s="152">
        <v>40527</v>
      </c>
      <c r="F579" s="149">
        <v>4</v>
      </c>
      <c r="G579" s="149">
        <v>5300</v>
      </c>
    </row>
    <row r="580" spans="1:7" x14ac:dyDescent="0.25">
      <c r="A580" s="148" t="s">
        <v>1532</v>
      </c>
      <c r="B580" s="148" t="s">
        <v>1535</v>
      </c>
      <c r="C580" s="148" t="s">
        <v>1523</v>
      </c>
      <c r="D580" s="148" t="s">
        <v>1533</v>
      </c>
      <c r="E580" s="152">
        <v>40253</v>
      </c>
      <c r="F580" s="149">
        <v>5</v>
      </c>
      <c r="G580" s="149">
        <v>7245</v>
      </c>
    </row>
    <row r="581" spans="1:7" x14ac:dyDescent="0.25">
      <c r="A581" s="148" t="s">
        <v>1526</v>
      </c>
      <c r="B581" s="148" t="s">
        <v>1535</v>
      </c>
      <c r="C581" s="148" t="s">
        <v>1519</v>
      </c>
      <c r="D581" s="148" t="s">
        <v>1533</v>
      </c>
      <c r="E581" s="152">
        <v>40305</v>
      </c>
      <c r="F581" s="149">
        <v>5</v>
      </c>
      <c r="G581" s="149">
        <v>5530</v>
      </c>
    </row>
    <row r="582" spans="1:7" x14ac:dyDescent="0.25">
      <c r="A582" s="148" t="s">
        <v>1526</v>
      </c>
      <c r="B582" s="148" t="s">
        <v>1535</v>
      </c>
      <c r="C582" s="148" t="s">
        <v>1523</v>
      </c>
      <c r="D582" s="148" t="s">
        <v>1530</v>
      </c>
      <c r="E582" s="152">
        <v>40416</v>
      </c>
      <c r="F582" s="149">
        <v>5</v>
      </c>
      <c r="G582" s="149">
        <v>2520</v>
      </c>
    </row>
    <row r="583" spans="1:7" x14ac:dyDescent="0.25">
      <c r="A583" s="148" t="s">
        <v>1526</v>
      </c>
      <c r="B583" s="148" t="s">
        <v>1535</v>
      </c>
      <c r="C583" s="148" t="s">
        <v>1519</v>
      </c>
      <c r="D583" s="148" t="s">
        <v>1530</v>
      </c>
      <c r="E583" s="152">
        <v>40208</v>
      </c>
      <c r="F583" s="149">
        <v>5</v>
      </c>
      <c r="G583" s="153">
        <v>6315</v>
      </c>
    </row>
    <row r="584" spans="1:7" x14ac:dyDescent="0.25">
      <c r="A584" s="148" t="s">
        <v>1516</v>
      </c>
      <c r="B584" s="148" t="s">
        <v>1535</v>
      </c>
      <c r="C584" s="148" t="s">
        <v>1523</v>
      </c>
      <c r="D584" s="148" t="s">
        <v>1528</v>
      </c>
      <c r="E584" s="152">
        <v>40878</v>
      </c>
      <c r="F584" s="149">
        <v>5</v>
      </c>
      <c r="G584" s="149">
        <v>5970</v>
      </c>
    </row>
    <row r="585" spans="1:7" x14ac:dyDescent="0.25">
      <c r="A585" s="148" t="s">
        <v>1524</v>
      </c>
      <c r="B585" s="148" t="s">
        <v>1535</v>
      </c>
      <c r="C585" s="148" t="s">
        <v>1517</v>
      </c>
      <c r="D585" s="148" t="s">
        <v>1528</v>
      </c>
      <c r="E585" s="152">
        <v>40507</v>
      </c>
      <c r="F585" s="149">
        <v>5</v>
      </c>
      <c r="G585" s="149">
        <v>2955</v>
      </c>
    </row>
    <row r="586" spans="1:7" x14ac:dyDescent="0.25">
      <c r="A586" s="148" t="s">
        <v>1525</v>
      </c>
      <c r="B586" s="148" t="s">
        <v>1535</v>
      </c>
      <c r="C586" s="148" t="s">
        <v>1514</v>
      </c>
      <c r="D586" s="148" t="s">
        <v>1528</v>
      </c>
      <c r="E586" s="152">
        <v>40539</v>
      </c>
      <c r="F586" s="149">
        <v>5</v>
      </c>
      <c r="G586" s="149">
        <v>4090</v>
      </c>
    </row>
    <row r="587" spans="1:7" x14ac:dyDescent="0.25">
      <c r="A587" s="148" t="s">
        <v>1518</v>
      </c>
      <c r="B587" s="148" t="s">
        <v>1535</v>
      </c>
      <c r="C587" s="148" t="s">
        <v>1517</v>
      </c>
      <c r="D587" s="148" t="s">
        <v>1533</v>
      </c>
      <c r="E587" s="152">
        <v>40719</v>
      </c>
      <c r="F587" s="149">
        <v>6</v>
      </c>
      <c r="G587" s="149">
        <v>6456</v>
      </c>
    </row>
    <row r="588" spans="1:7" x14ac:dyDescent="0.25">
      <c r="A588" s="148" t="s">
        <v>1526</v>
      </c>
      <c r="B588" s="148" t="s">
        <v>1535</v>
      </c>
      <c r="C588" s="148" t="s">
        <v>1514</v>
      </c>
      <c r="D588" s="148" t="s">
        <v>1533</v>
      </c>
      <c r="E588" s="152">
        <v>40361</v>
      </c>
      <c r="F588" s="149">
        <v>6</v>
      </c>
      <c r="G588" s="149">
        <v>7968</v>
      </c>
    </row>
    <row r="589" spans="1:7" x14ac:dyDescent="0.25">
      <c r="A589" s="148" t="s">
        <v>1516</v>
      </c>
      <c r="B589" s="148" t="s">
        <v>1535</v>
      </c>
      <c r="C589" s="148" t="s">
        <v>1514</v>
      </c>
      <c r="D589" s="148" t="s">
        <v>1533</v>
      </c>
      <c r="E589" s="152">
        <v>40522</v>
      </c>
      <c r="F589" s="149">
        <v>6</v>
      </c>
      <c r="G589" s="149">
        <v>3012</v>
      </c>
    </row>
    <row r="590" spans="1:7" x14ac:dyDescent="0.25">
      <c r="A590" s="148" t="s">
        <v>1516</v>
      </c>
      <c r="B590" s="148" t="s">
        <v>1535</v>
      </c>
      <c r="C590" s="148" t="s">
        <v>1519</v>
      </c>
      <c r="D590" s="148" t="s">
        <v>1531</v>
      </c>
      <c r="E590" s="152">
        <v>40333</v>
      </c>
      <c r="F590" s="149">
        <v>6</v>
      </c>
      <c r="G590" s="149">
        <v>8562</v>
      </c>
    </row>
    <row r="591" spans="1:7" x14ac:dyDescent="0.25">
      <c r="A591" s="148" t="s">
        <v>1518</v>
      </c>
      <c r="B591" s="148" t="s">
        <v>1535</v>
      </c>
      <c r="C591" s="148" t="s">
        <v>1514</v>
      </c>
      <c r="D591" s="148" t="s">
        <v>1531</v>
      </c>
      <c r="E591" s="152">
        <v>40598</v>
      </c>
      <c r="F591" s="149">
        <v>6</v>
      </c>
      <c r="G591" s="149">
        <v>6288</v>
      </c>
    </row>
    <row r="592" spans="1:7" x14ac:dyDescent="0.25">
      <c r="A592" s="148" t="s">
        <v>1521</v>
      </c>
      <c r="B592" s="148" t="s">
        <v>1535</v>
      </c>
      <c r="C592" s="148" t="s">
        <v>1517</v>
      </c>
      <c r="D592" s="148" t="s">
        <v>1530</v>
      </c>
      <c r="E592" s="152">
        <v>40660</v>
      </c>
      <c r="F592" s="149">
        <v>6</v>
      </c>
      <c r="G592" s="149">
        <v>7272</v>
      </c>
    </row>
    <row r="593" spans="1:7" x14ac:dyDescent="0.25">
      <c r="A593" s="148" t="s">
        <v>1521</v>
      </c>
      <c r="B593" s="148" t="s">
        <v>1535</v>
      </c>
      <c r="C593" s="148" t="s">
        <v>1514</v>
      </c>
      <c r="D593" s="148" t="s">
        <v>1530</v>
      </c>
      <c r="E593" s="152">
        <v>40269</v>
      </c>
      <c r="F593" s="149">
        <v>6</v>
      </c>
      <c r="G593" s="149">
        <v>7002</v>
      </c>
    </row>
    <row r="594" spans="1:7" x14ac:dyDescent="0.25">
      <c r="A594" s="148" t="s">
        <v>1526</v>
      </c>
      <c r="B594" s="148" t="s">
        <v>1535</v>
      </c>
      <c r="C594" s="148" t="s">
        <v>1517</v>
      </c>
      <c r="D594" s="148" t="s">
        <v>1533</v>
      </c>
      <c r="E594" s="152">
        <v>40182</v>
      </c>
      <c r="F594" s="149">
        <v>7</v>
      </c>
      <c r="G594" s="153">
        <v>4298</v>
      </c>
    </row>
    <row r="595" spans="1:7" x14ac:dyDescent="0.25">
      <c r="A595" s="148" t="s">
        <v>1516</v>
      </c>
      <c r="B595" s="148" t="s">
        <v>1535</v>
      </c>
      <c r="C595" s="148" t="s">
        <v>1517</v>
      </c>
      <c r="D595" s="148" t="s">
        <v>1533</v>
      </c>
      <c r="E595" s="152">
        <v>40897</v>
      </c>
      <c r="F595" s="149">
        <v>7</v>
      </c>
      <c r="G595" s="149">
        <v>7308</v>
      </c>
    </row>
    <row r="596" spans="1:7" x14ac:dyDescent="0.25">
      <c r="A596" s="148" t="s">
        <v>1526</v>
      </c>
      <c r="B596" s="148" t="s">
        <v>1535</v>
      </c>
      <c r="C596" s="148" t="s">
        <v>1514</v>
      </c>
      <c r="D596" s="148" t="s">
        <v>1533</v>
      </c>
      <c r="E596" s="152">
        <v>40798</v>
      </c>
      <c r="F596" s="149">
        <v>7</v>
      </c>
      <c r="G596" s="149">
        <v>6377</v>
      </c>
    </row>
    <row r="597" spans="1:7" x14ac:dyDescent="0.25">
      <c r="A597" s="148" t="s">
        <v>1522</v>
      </c>
      <c r="B597" s="148" t="s">
        <v>1535</v>
      </c>
      <c r="C597" s="148" t="s">
        <v>1519</v>
      </c>
      <c r="D597" s="148" t="s">
        <v>1513</v>
      </c>
      <c r="E597" s="152">
        <v>40313</v>
      </c>
      <c r="F597" s="149">
        <v>7</v>
      </c>
      <c r="G597" s="149">
        <v>5320</v>
      </c>
    </row>
    <row r="598" spans="1:7" x14ac:dyDescent="0.25">
      <c r="A598" s="148" t="s">
        <v>1518</v>
      </c>
      <c r="B598" s="148" t="s">
        <v>1535</v>
      </c>
      <c r="C598" s="148" t="s">
        <v>1514</v>
      </c>
      <c r="D598" s="148" t="s">
        <v>1513</v>
      </c>
      <c r="E598" s="152">
        <v>40652</v>
      </c>
      <c r="F598" s="149">
        <v>7</v>
      </c>
      <c r="G598" s="149">
        <v>7532</v>
      </c>
    </row>
    <row r="599" spans="1:7" x14ac:dyDescent="0.25">
      <c r="A599" s="148" t="s">
        <v>1521</v>
      </c>
      <c r="B599" s="148" t="s">
        <v>1535</v>
      </c>
      <c r="C599" s="148" t="s">
        <v>1514</v>
      </c>
      <c r="D599" s="148" t="s">
        <v>1530</v>
      </c>
      <c r="E599" s="152">
        <v>40290</v>
      </c>
      <c r="F599" s="149">
        <v>7</v>
      </c>
      <c r="G599" s="149">
        <v>7007</v>
      </c>
    </row>
    <row r="600" spans="1:7" x14ac:dyDescent="0.25">
      <c r="A600" s="148" t="s">
        <v>1525</v>
      </c>
      <c r="B600" s="148" t="s">
        <v>1535</v>
      </c>
      <c r="C600" s="148" t="s">
        <v>1514</v>
      </c>
      <c r="D600" s="148" t="s">
        <v>1530</v>
      </c>
      <c r="E600" s="152">
        <v>40648</v>
      </c>
      <c r="F600" s="149">
        <v>7</v>
      </c>
      <c r="G600" s="149">
        <v>9835</v>
      </c>
    </row>
    <row r="601" spans="1:7" x14ac:dyDescent="0.25">
      <c r="A601" s="148" t="s">
        <v>1524</v>
      </c>
      <c r="B601" s="148" t="s">
        <v>1535</v>
      </c>
      <c r="C601" s="148" t="s">
        <v>1514</v>
      </c>
      <c r="D601" s="148" t="s">
        <v>1530</v>
      </c>
      <c r="E601" s="152">
        <v>40771</v>
      </c>
      <c r="F601" s="149">
        <v>7</v>
      </c>
      <c r="G601" s="149">
        <v>3857</v>
      </c>
    </row>
    <row r="602" spans="1:7" x14ac:dyDescent="0.25">
      <c r="A602" s="148" t="s">
        <v>1526</v>
      </c>
      <c r="B602" s="148" t="s">
        <v>1535</v>
      </c>
      <c r="C602" s="148" t="s">
        <v>1514</v>
      </c>
      <c r="D602" s="148" t="s">
        <v>1530</v>
      </c>
      <c r="E602" s="152">
        <v>40787</v>
      </c>
      <c r="F602" s="149">
        <v>7</v>
      </c>
      <c r="G602" s="149">
        <v>9828</v>
      </c>
    </row>
    <row r="603" spans="1:7" x14ac:dyDescent="0.25">
      <c r="A603" s="148" t="s">
        <v>1529</v>
      </c>
      <c r="B603" s="148" t="s">
        <v>1535</v>
      </c>
      <c r="C603" s="148" t="s">
        <v>1519</v>
      </c>
      <c r="D603" s="148" t="s">
        <v>1528</v>
      </c>
      <c r="E603" s="152">
        <v>40666</v>
      </c>
      <c r="F603" s="149">
        <v>7</v>
      </c>
      <c r="G603" s="149">
        <v>7203</v>
      </c>
    </row>
    <row r="604" spans="1:7" x14ac:dyDescent="0.25">
      <c r="A604" s="148" t="s">
        <v>1526</v>
      </c>
      <c r="B604" s="148" t="s">
        <v>1535</v>
      </c>
      <c r="C604" s="148" t="s">
        <v>1519</v>
      </c>
      <c r="D604" s="148" t="s">
        <v>1528</v>
      </c>
      <c r="E604" s="152">
        <v>40809</v>
      </c>
      <c r="F604" s="149">
        <v>7</v>
      </c>
      <c r="G604" s="149">
        <v>8547</v>
      </c>
    </row>
    <row r="605" spans="1:7" x14ac:dyDescent="0.25">
      <c r="A605" s="148" t="s">
        <v>1516</v>
      </c>
      <c r="B605" s="148" t="s">
        <v>1535</v>
      </c>
      <c r="C605" s="148" t="s">
        <v>1517</v>
      </c>
      <c r="D605" s="148" t="s">
        <v>1528</v>
      </c>
      <c r="E605" s="152">
        <v>40520</v>
      </c>
      <c r="F605" s="149">
        <v>7</v>
      </c>
      <c r="G605" s="149">
        <v>6132</v>
      </c>
    </row>
    <row r="606" spans="1:7" x14ac:dyDescent="0.25">
      <c r="A606" s="148" t="s">
        <v>1520</v>
      </c>
      <c r="B606" s="148" t="s">
        <v>1535</v>
      </c>
      <c r="C606" s="148" t="s">
        <v>1523</v>
      </c>
      <c r="D606" s="148" t="s">
        <v>1533</v>
      </c>
      <c r="E606" s="152">
        <v>40498</v>
      </c>
      <c r="F606" s="149">
        <v>8</v>
      </c>
      <c r="G606" s="149">
        <v>11528</v>
      </c>
    </row>
    <row r="607" spans="1:7" x14ac:dyDescent="0.25">
      <c r="A607" s="148" t="s">
        <v>1532</v>
      </c>
      <c r="B607" s="148" t="s">
        <v>1535</v>
      </c>
      <c r="C607" s="148" t="s">
        <v>1517</v>
      </c>
      <c r="D607" s="148" t="s">
        <v>1533</v>
      </c>
      <c r="E607" s="152">
        <v>40761</v>
      </c>
      <c r="F607" s="149">
        <v>8</v>
      </c>
      <c r="G607" s="149">
        <v>11048</v>
      </c>
    </row>
    <row r="608" spans="1:7" x14ac:dyDescent="0.25">
      <c r="A608" s="148" t="s">
        <v>1534</v>
      </c>
      <c r="B608" s="148" t="s">
        <v>1535</v>
      </c>
      <c r="C608" s="148" t="s">
        <v>1523</v>
      </c>
      <c r="D608" s="148" t="s">
        <v>1513</v>
      </c>
      <c r="E608" s="152">
        <v>40558</v>
      </c>
      <c r="F608" s="149">
        <v>8</v>
      </c>
      <c r="G608" s="149">
        <v>9600</v>
      </c>
    </row>
    <row r="609" spans="1:7" x14ac:dyDescent="0.25">
      <c r="A609" s="148" t="s">
        <v>1534</v>
      </c>
      <c r="B609" s="148" t="s">
        <v>1535</v>
      </c>
      <c r="C609" s="148" t="s">
        <v>1523</v>
      </c>
      <c r="D609" s="148" t="s">
        <v>1513</v>
      </c>
      <c r="E609" s="152">
        <v>40752</v>
      </c>
      <c r="F609" s="149">
        <v>8</v>
      </c>
      <c r="G609" s="149">
        <v>6992</v>
      </c>
    </row>
    <row r="610" spans="1:7" x14ac:dyDescent="0.25">
      <c r="A610" s="148" t="s">
        <v>1521</v>
      </c>
      <c r="B610" s="148" t="s">
        <v>1535</v>
      </c>
      <c r="C610" s="148" t="s">
        <v>1519</v>
      </c>
      <c r="D610" s="148" t="s">
        <v>1513</v>
      </c>
      <c r="E610" s="152">
        <v>40374</v>
      </c>
      <c r="F610" s="149">
        <v>8</v>
      </c>
      <c r="G610" s="149">
        <v>7704</v>
      </c>
    </row>
    <row r="611" spans="1:7" x14ac:dyDescent="0.25">
      <c r="A611" s="148" t="s">
        <v>1527</v>
      </c>
      <c r="B611" s="148" t="s">
        <v>1535</v>
      </c>
      <c r="C611" s="148" t="s">
        <v>1517</v>
      </c>
      <c r="D611" s="148" t="s">
        <v>1513</v>
      </c>
      <c r="E611" s="152">
        <v>40218</v>
      </c>
      <c r="F611" s="149">
        <v>8</v>
      </c>
      <c r="G611" s="149">
        <v>5360</v>
      </c>
    </row>
    <row r="612" spans="1:7" x14ac:dyDescent="0.25">
      <c r="A612" s="148" t="s">
        <v>1524</v>
      </c>
      <c r="B612" s="148" t="s">
        <v>1535</v>
      </c>
      <c r="C612" s="148" t="s">
        <v>1517</v>
      </c>
      <c r="D612" s="148" t="s">
        <v>1513</v>
      </c>
      <c r="E612" s="152">
        <v>40670</v>
      </c>
      <c r="F612" s="149">
        <v>8</v>
      </c>
      <c r="G612" s="149">
        <v>6872</v>
      </c>
    </row>
    <row r="613" spans="1:7" x14ac:dyDescent="0.25">
      <c r="A613" s="148" t="s">
        <v>1524</v>
      </c>
      <c r="B613" s="148" t="s">
        <v>1535</v>
      </c>
      <c r="C613" s="148" t="s">
        <v>1519</v>
      </c>
      <c r="D613" s="148" t="s">
        <v>1531</v>
      </c>
      <c r="E613" s="152">
        <v>40841</v>
      </c>
      <c r="F613" s="149">
        <v>8</v>
      </c>
      <c r="G613" s="149">
        <v>6816</v>
      </c>
    </row>
    <row r="614" spans="1:7" x14ac:dyDescent="0.25">
      <c r="A614" s="148" t="s">
        <v>1522</v>
      </c>
      <c r="B614" s="148" t="s">
        <v>1535</v>
      </c>
      <c r="C614" s="148" t="s">
        <v>1517</v>
      </c>
      <c r="D614" s="148" t="s">
        <v>1531</v>
      </c>
      <c r="E614" s="152">
        <v>40284</v>
      </c>
      <c r="F614" s="149">
        <v>8</v>
      </c>
      <c r="G614" s="149">
        <v>5912</v>
      </c>
    </row>
    <row r="615" spans="1:7" x14ac:dyDescent="0.25">
      <c r="A615" s="148" t="s">
        <v>1521</v>
      </c>
      <c r="B615" s="148" t="s">
        <v>1535</v>
      </c>
      <c r="C615" s="148" t="s">
        <v>1514</v>
      </c>
      <c r="D615" s="148" t="s">
        <v>1531</v>
      </c>
      <c r="E615" s="152">
        <v>40574</v>
      </c>
      <c r="F615" s="149">
        <v>8</v>
      </c>
      <c r="G615" s="149">
        <v>6424</v>
      </c>
    </row>
    <row r="616" spans="1:7" x14ac:dyDescent="0.25">
      <c r="A616" s="148" t="s">
        <v>1534</v>
      </c>
      <c r="B616" s="148" t="s">
        <v>1535</v>
      </c>
      <c r="C616" s="148" t="s">
        <v>1523</v>
      </c>
      <c r="D616" s="148" t="s">
        <v>1530</v>
      </c>
      <c r="E616" s="152">
        <v>40736</v>
      </c>
      <c r="F616" s="149">
        <v>8</v>
      </c>
      <c r="G616" s="149">
        <v>7616</v>
      </c>
    </row>
    <row r="617" spans="1:7" x14ac:dyDescent="0.25">
      <c r="A617" s="148" t="s">
        <v>1516</v>
      </c>
      <c r="B617" s="148" t="s">
        <v>1535</v>
      </c>
      <c r="C617" s="148" t="s">
        <v>1517</v>
      </c>
      <c r="D617" s="148" t="s">
        <v>1530</v>
      </c>
      <c r="E617" s="152">
        <v>40722</v>
      </c>
      <c r="F617" s="149">
        <v>8</v>
      </c>
      <c r="G617" s="149">
        <v>7800</v>
      </c>
    </row>
    <row r="618" spans="1:7" x14ac:dyDescent="0.25">
      <c r="A618" s="148" t="s">
        <v>1527</v>
      </c>
      <c r="B618" s="148" t="s">
        <v>1535</v>
      </c>
      <c r="C618" s="148" t="s">
        <v>1514</v>
      </c>
      <c r="D618" s="148" t="s">
        <v>1528</v>
      </c>
      <c r="E618" s="152">
        <v>40767</v>
      </c>
      <c r="F618" s="149">
        <v>8</v>
      </c>
      <c r="G618" s="149">
        <v>6080</v>
      </c>
    </row>
    <row r="619" spans="1:7" x14ac:dyDescent="0.25">
      <c r="A619" s="148" t="s">
        <v>1532</v>
      </c>
      <c r="B619" s="148" t="s">
        <v>1535</v>
      </c>
      <c r="C619" s="148" t="s">
        <v>1514</v>
      </c>
      <c r="D619" s="148" t="s">
        <v>1528</v>
      </c>
      <c r="E619" s="152">
        <v>40777</v>
      </c>
      <c r="F619" s="149">
        <v>8</v>
      </c>
      <c r="G619" s="149">
        <v>6864</v>
      </c>
    </row>
    <row r="620" spans="1:7" x14ac:dyDescent="0.25">
      <c r="A620" s="148" t="s">
        <v>1527</v>
      </c>
      <c r="B620" s="148" t="s">
        <v>1535</v>
      </c>
      <c r="C620" s="148" t="s">
        <v>1514</v>
      </c>
      <c r="D620" s="148" t="s">
        <v>1533</v>
      </c>
      <c r="E620" s="152">
        <v>40252</v>
      </c>
      <c r="F620" s="149">
        <v>9</v>
      </c>
      <c r="G620" s="153">
        <v>11583</v>
      </c>
    </row>
    <row r="621" spans="1:7" x14ac:dyDescent="0.25">
      <c r="A621" s="148" t="s">
        <v>1527</v>
      </c>
      <c r="B621" s="148" t="s">
        <v>1535</v>
      </c>
      <c r="C621" s="148" t="s">
        <v>1514</v>
      </c>
      <c r="D621" s="148" t="s">
        <v>1533</v>
      </c>
      <c r="E621" s="152">
        <v>40382</v>
      </c>
      <c r="F621" s="149">
        <v>9</v>
      </c>
      <c r="G621" s="149">
        <v>6678</v>
      </c>
    </row>
    <row r="622" spans="1:7" x14ac:dyDescent="0.25">
      <c r="A622" s="148" t="s">
        <v>1526</v>
      </c>
      <c r="B622" s="148" t="s">
        <v>1535</v>
      </c>
      <c r="C622" s="148" t="s">
        <v>1523</v>
      </c>
      <c r="D622" s="148" t="s">
        <v>1513</v>
      </c>
      <c r="E622" s="152">
        <v>40487</v>
      </c>
      <c r="F622" s="149">
        <v>9</v>
      </c>
      <c r="G622" s="149">
        <v>5274</v>
      </c>
    </row>
    <row r="623" spans="1:7" x14ac:dyDescent="0.25">
      <c r="A623" s="148" t="s">
        <v>1527</v>
      </c>
      <c r="B623" s="148" t="s">
        <v>1535</v>
      </c>
      <c r="C623" s="148" t="s">
        <v>1517</v>
      </c>
      <c r="D623" s="148" t="s">
        <v>1513</v>
      </c>
      <c r="E623" s="152">
        <v>40541</v>
      </c>
      <c r="F623" s="149">
        <v>9</v>
      </c>
      <c r="G623" s="149">
        <v>10494</v>
      </c>
    </row>
    <row r="624" spans="1:7" x14ac:dyDescent="0.25">
      <c r="A624" s="148" t="s">
        <v>1521</v>
      </c>
      <c r="B624" s="148" t="s">
        <v>1535</v>
      </c>
      <c r="C624" s="148" t="s">
        <v>1517</v>
      </c>
      <c r="D624" s="148" t="s">
        <v>1513</v>
      </c>
      <c r="E624" s="152">
        <v>40631</v>
      </c>
      <c r="F624" s="149">
        <v>9</v>
      </c>
      <c r="G624" s="149">
        <v>9171</v>
      </c>
    </row>
    <row r="625" spans="1:7" x14ac:dyDescent="0.25">
      <c r="A625" s="148" t="s">
        <v>1529</v>
      </c>
      <c r="B625" s="148" t="s">
        <v>1535</v>
      </c>
      <c r="C625" s="148" t="s">
        <v>1523</v>
      </c>
      <c r="D625" s="148" t="s">
        <v>1531</v>
      </c>
      <c r="E625" s="152">
        <v>40214</v>
      </c>
      <c r="F625" s="149">
        <v>9</v>
      </c>
      <c r="G625" s="153">
        <v>7470</v>
      </c>
    </row>
    <row r="626" spans="1:7" x14ac:dyDescent="0.25">
      <c r="A626" s="148" t="s">
        <v>1520</v>
      </c>
      <c r="B626" s="148" t="s">
        <v>1535</v>
      </c>
      <c r="C626" s="148" t="s">
        <v>1519</v>
      </c>
      <c r="D626" s="148" t="s">
        <v>1531</v>
      </c>
      <c r="E626" s="152">
        <v>40410</v>
      </c>
      <c r="F626" s="149">
        <v>9</v>
      </c>
      <c r="G626" s="149">
        <v>4788</v>
      </c>
    </row>
    <row r="627" spans="1:7" x14ac:dyDescent="0.25">
      <c r="A627" s="148" t="s">
        <v>1516</v>
      </c>
      <c r="B627" s="148" t="s">
        <v>1535</v>
      </c>
      <c r="C627" s="148" t="s">
        <v>1519</v>
      </c>
      <c r="D627" s="148" t="s">
        <v>1530</v>
      </c>
      <c r="E627" s="152">
        <v>40618</v>
      </c>
      <c r="F627" s="149">
        <v>9</v>
      </c>
      <c r="G627" s="149">
        <v>10422</v>
      </c>
    </row>
    <row r="628" spans="1:7" x14ac:dyDescent="0.25">
      <c r="A628" s="148" t="s">
        <v>1529</v>
      </c>
      <c r="B628" s="148" t="s">
        <v>1535</v>
      </c>
      <c r="C628" s="148" t="s">
        <v>1519</v>
      </c>
      <c r="D628" s="148" t="s">
        <v>1530</v>
      </c>
      <c r="E628" s="152">
        <v>40656</v>
      </c>
      <c r="F628" s="149">
        <v>9</v>
      </c>
      <c r="G628" s="149">
        <v>4518</v>
      </c>
    </row>
    <row r="629" spans="1:7" x14ac:dyDescent="0.25">
      <c r="A629" s="148" t="s">
        <v>1524</v>
      </c>
      <c r="B629" s="148" t="s">
        <v>1535</v>
      </c>
      <c r="C629" s="148" t="s">
        <v>1519</v>
      </c>
      <c r="D629" s="148" t="s">
        <v>1528</v>
      </c>
      <c r="E629" s="152">
        <v>40753</v>
      </c>
      <c r="F629" s="149">
        <v>9</v>
      </c>
      <c r="G629" s="149">
        <v>13410</v>
      </c>
    </row>
    <row r="630" spans="1:7" x14ac:dyDescent="0.25">
      <c r="A630" s="148" t="s">
        <v>1526</v>
      </c>
      <c r="B630" s="148" t="s">
        <v>1535</v>
      </c>
      <c r="C630" s="148" t="s">
        <v>1517</v>
      </c>
      <c r="D630" s="148" t="s">
        <v>1528</v>
      </c>
      <c r="E630" s="152">
        <v>40339</v>
      </c>
      <c r="F630" s="149">
        <v>9</v>
      </c>
      <c r="G630" s="149">
        <v>12501</v>
      </c>
    </row>
    <row r="631" spans="1:7" x14ac:dyDescent="0.25">
      <c r="A631" s="148" t="s">
        <v>1520</v>
      </c>
      <c r="B631" s="148" t="s">
        <v>1535</v>
      </c>
      <c r="C631" s="148" t="s">
        <v>1514</v>
      </c>
      <c r="D631" s="148" t="s">
        <v>1513</v>
      </c>
      <c r="E631" s="152">
        <v>40290</v>
      </c>
      <c r="F631" s="149">
        <v>10</v>
      </c>
      <c r="G631" s="149">
        <v>12750</v>
      </c>
    </row>
    <row r="632" spans="1:7" x14ac:dyDescent="0.25">
      <c r="A632" s="148" t="s">
        <v>1522</v>
      </c>
      <c r="B632" s="148" t="s">
        <v>1535</v>
      </c>
      <c r="C632" s="148" t="s">
        <v>1514</v>
      </c>
      <c r="D632" s="148" t="s">
        <v>1513</v>
      </c>
      <c r="E632" s="152">
        <v>40491</v>
      </c>
      <c r="F632" s="149">
        <v>10</v>
      </c>
      <c r="G632" s="149">
        <v>14400</v>
      </c>
    </row>
    <row r="633" spans="1:7" x14ac:dyDescent="0.25">
      <c r="A633" s="148" t="s">
        <v>1527</v>
      </c>
      <c r="B633" s="148" t="s">
        <v>1535</v>
      </c>
      <c r="C633" s="148" t="s">
        <v>1519</v>
      </c>
      <c r="D633" s="148" t="s">
        <v>1531</v>
      </c>
      <c r="E633" s="152">
        <v>40672</v>
      </c>
      <c r="F633" s="149">
        <v>10</v>
      </c>
      <c r="G633" s="149">
        <v>13930</v>
      </c>
    </row>
    <row r="634" spans="1:7" x14ac:dyDescent="0.25">
      <c r="A634" s="148" t="s">
        <v>1518</v>
      </c>
      <c r="B634" s="148" t="s">
        <v>1535</v>
      </c>
      <c r="C634" s="148" t="s">
        <v>1517</v>
      </c>
      <c r="D634" s="148" t="s">
        <v>1531</v>
      </c>
      <c r="E634" s="152">
        <v>40351</v>
      </c>
      <c r="F634" s="149">
        <v>10</v>
      </c>
      <c r="G634" s="149">
        <v>10770</v>
      </c>
    </row>
    <row r="635" spans="1:7" x14ac:dyDescent="0.25">
      <c r="A635" s="148" t="s">
        <v>1518</v>
      </c>
      <c r="B635" s="148" t="s">
        <v>1535</v>
      </c>
      <c r="C635" s="148" t="s">
        <v>1517</v>
      </c>
      <c r="D635" s="148" t="s">
        <v>1531</v>
      </c>
      <c r="E635" s="152">
        <v>40750</v>
      </c>
      <c r="F635" s="149">
        <v>10</v>
      </c>
      <c r="G635" s="149">
        <v>14800</v>
      </c>
    </row>
    <row r="636" spans="1:7" x14ac:dyDescent="0.25">
      <c r="A636" s="148" t="s">
        <v>1527</v>
      </c>
      <c r="B636" s="148" t="s">
        <v>1535</v>
      </c>
      <c r="C636" s="148" t="s">
        <v>1523</v>
      </c>
      <c r="D636" s="148" t="s">
        <v>1530</v>
      </c>
      <c r="E636" s="152">
        <v>40387</v>
      </c>
      <c r="F636" s="149">
        <v>10</v>
      </c>
      <c r="G636" s="149">
        <v>12130</v>
      </c>
    </row>
    <row r="637" spans="1:7" x14ac:dyDescent="0.25">
      <c r="A637" s="148" t="s">
        <v>1520</v>
      </c>
      <c r="B637" s="148" t="s">
        <v>1535</v>
      </c>
      <c r="C637" s="148" t="s">
        <v>1523</v>
      </c>
      <c r="D637" s="148" t="s">
        <v>1530</v>
      </c>
      <c r="E637" s="152">
        <v>40728</v>
      </c>
      <c r="F637" s="149">
        <v>10</v>
      </c>
      <c r="G637" s="149">
        <v>6940</v>
      </c>
    </row>
    <row r="638" spans="1:7" x14ac:dyDescent="0.25">
      <c r="A638" s="148" t="s">
        <v>1518</v>
      </c>
      <c r="B638" s="148" t="s">
        <v>1535</v>
      </c>
      <c r="C638" s="148" t="s">
        <v>1514</v>
      </c>
      <c r="D638" s="148" t="s">
        <v>1530</v>
      </c>
      <c r="E638" s="152">
        <v>40186</v>
      </c>
      <c r="F638" s="149">
        <v>10</v>
      </c>
      <c r="G638" s="153">
        <v>6290</v>
      </c>
    </row>
    <row r="639" spans="1:7" x14ac:dyDescent="0.25">
      <c r="A639" s="148" t="s">
        <v>1529</v>
      </c>
      <c r="B639" s="148" t="s">
        <v>1535</v>
      </c>
      <c r="C639" s="148" t="s">
        <v>1514</v>
      </c>
      <c r="D639" s="148" t="s">
        <v>1530</v>
      </c>
      <c r="E639" s="152">
        <v>40211</v>
      </c>
      <c r="F639" s="149">
        <v>10</v>
      </c>
      <c r="G639" s="153">
        <v>10620</v>
      </c>
    </row>
    <row r="640" spans="1:7" x14ac:dyDescent="0.25">
      <c r="A640" s="148" t="s">
        <v>1529</v>
      </c>
      <c r="B640" s="148" t="s">
        <v>1535</v>
      </c>
      <c r="C640" s="148" t="s">
        <v>1514</v>
      </c>
      <c r="D640" s="148" t="s">
        <v>1530</v>
      </c>
      <c r="E640" s="152">
        <v>40239</v>
      </c>
      <c r="F640" s="149">
        <v>10</v>
      </c>
      <c r="G640" s="153">
        <v>15000</v>
      </c>
    </row>
    <row r="641" spans="1:7" x14ac:dyDescent="0.25">
      <c r="A641" s="148" t="s">
        <v>1521</v>
      </c>
      <c r="B641" s="148" t="s">
        <v>1535</v>
      </c>
      <c r="C641" s="148" t="s">
        <v>1523</v>
      </c>
      <c r="D641" s="148" t="s">
        <v>1528</v>
      </c>
      <c r="E641" s="152">
        <v>40519</v>
      </c>
      <c r="F641" s="149">
        <v>10</v>
      </c>
      <c r="G641" s="149">
        <v>8120</v>
      </c>
    </row>
    <row r="642" spans="1:7" x14ac:dyDescent="0.25">
      <c r="A642" s="148" t="s">
        <v>1524</v>
      </c>
      <c r="B642" s="148" t="s">
        <v>1535</v>
      </c>
      <c r="C642" s="148" t="s">
        <v>1523</v>
      </c>
      <c r="D642" s="148" t="s">
        <v>1528</v>
      </c>
      <c r="E642" s="152">
        <v>40565</v>
      </c>
      <c r="F642" s="149">
        <v>10</v>
      </c>
      <c r="G642" s="149">
        <v>6320</v>
      </c>
    </row>
    <row r="643" spans="1:7" x14ac:dyDescent="0.25">
      <c r="A643" s="148" t="s">
        <v>1525</v>
      </c>
      <c r="B643" s="148" t="s">
        <v>1535</v>
      </c>
      <c r="C643" s="148" t="s">
        <v>1517</v>
      </c>
      <c r="D643" s="148" t="s">
        <v>1528</v>
      </c>
      <c r="E643" s="152">
        <v>40498</v>
      </c>
      <c r="F643" s="149">
        <v>10</v>
      </c>
      <c r="G643" s="149">
        <v>9360</v>
      </c>
    </row>
    <row r="644" spans="1:7" x14ac:dyDescent="0.25">
      <c r="A644" s="148" t="s">
        <v>1526</v>
      </c>
      <c r="B644" s="148" t="s">
        <v>1535</v>
      </c>
      <c r="C644" s="148" t="s">
        <v>1523</v>
      </c>
      <c r="D644" s="148" t="s">
        <v>1533</v>
      </c>
      <c r="E644" s="152">
        <v>40899</v>
      </c>
      <c r="F644" s="149">
        <v>11</v>
      </c>
      <c r="G644" s="149">
        <v>5841</v>
      </c>
    </row>
    <row r="645" spans="1:7" x14ac:dyDescent="0.25">
      <c r="A645" s="148" t="s">
        <v>1532</v>
      </c>
      <c r="B645" s="148" t="s">
        <v>1535</v>
      </c>
      <c r="C645" s="148" t="s">
        <v>1517</v>
      </c>
      <c r="D645" s="148" t="s">
        <v>1533</v>
      </c>
      <c r="E645" s="152">
        <v>40191</v>
      </c>
      <c r="F645" s="149">
        <v>11</v>
      </c>
      <c r="G645" s="153">
        <v>10010</v>
      </c>
    </row>
    <row r="646" spans="1:7" x14ac:dyDescent="0.25">
      <c r="A646" s="148" t="s">
        <v>1521</v>
      </c>
      <c r="B646" s="148" t="s">
        <v>1535</v>
      </c>
      <c r="C646" s="148" t="s">
        <v>1514</v>
      </c>
      <c r="D646" s="148" t="s">
        <v>1513</v>
      </c>
      <c r="E646" s="152">
        <v>40288</v>
      </c>
      <c r="F646" s="149">
        <v>11</v>
      </c>
      <c r="G646" s="149">
        <v>6204</v>
      </c>
    </row>
    <row r="647" spans="1:7" x14ac:dyDescent="0.25">
      <c r="A647" s="148" t="s">
        <v>1529</v>
      </c>
      <c r="B647" s="148" t="s">
        <v>1535</v>
      </c>
      <c r="C647" s="148" t="s">
        <v>1514</v>
      </c>
      <c r="D647" s="148" t="s">
        <v>1513</v>
      </c>
      <c r="E647" s="152">
        <v>40423</v>
      </c>
      <c r="F647" s="149">
        <v>11</v>
      </c>
      <c r="G647" s="149">
        <v>6721</v>
      </c>
    </row>
    <row r="648" spans="1:7" x14ac:dyDescent="0.25">
      <c r="A648" s="148" t="s">
        <v>1521</v>
      </c>
      <c r="B648" s="148" t="s">
        <v>1535</v>
      </c>
      <c r="C648" s="148" t="s">
        <v>1519</v>
      </c>
      <c r="D648" s="148" t="s">
        <v>1531</v>
      </c>
      <c r="E648" s="152">
        <v>40666</v>
      </c>
      <c r="F648" s="149">
        <v>11</v>
      </c>
      <c r="G648" s="149">
        <v>8140</v>
      </c>
    </row>
    <row r="649" spans="1:7" x14ac:dyDescent="0.25">
      <c r="A649" s="148" t="s">
        <v>1522</v>
      </c>
      <c r="B649" s="148" t="s">
        <v>1535</v>
      </c>
      <c r="C649" s="148" t="s">
        <v>1523</v>
      </c>
      <c r="D649" s="148" t="s">
        <v>1530</v>
      </c>
      <c r="E649" s="152">
        <v>40201</v>
      </c>
      <c r="F649" s="149">
        <v>11</v>
      </c>
      <c r="G649" s="153">
        <v>16181</v>
      </c>
    </row>
    <row r="650" spans="1:7" x14ac:dyDescent="0.25">
      <c r="A650" s="148" t="s">
        <v>1529</v>
      </c>
      <c r="B650" s="148" t="s">
        <v>1535</v>
      </c>
      <c r="C650" s="148" t="s">
        <v>1523</v>
      </c>
      <c r="D650" s="148" t="s">
        <v>1530</v>
      </c>
      <c r="E650" s="152">
        <v>40541</v>
      </c>
      <c r="F650" s="149">
        <v>11</v>
      </c>
      <c r="G650" s="149">
        <v>6886</v>
      </c>
    </row>
    <row r="651" spans="1:7" x14ac:dyDescent="0.25">
      <c r="A651" s="148" t="s">
        <v>1522</v>
      </c>
      <c r="B651" s="148" t="s">
        <v>1535</v>
      </c>
      <c r="C651" s="148" t="s">
        <v>1519</v>
      </c>
      <c r="D651" s="148" t="s">
        <v>1530</v>
      </c>
      <c r="E651" s="152">
        <v>40501</v>
      </c>
      <c r="F651" s="149">
        <v>11</v>
      </c>
      <c r="G651" s="149">
        <v>8217</v>
      </c>
    </row>
    <row r="652" spans="1:7" x14ac:dyDescent="0.25">
      <c r="A652" s="148" t="s">
        <v>1516</v>
      </c>
      <c r="B652" s="148" t="s">
        <v>1535</v>
      </c>
      <c r="C652" s="148" t="s">
        <v>1517</v>
      </c>
      <c r="D652" s="148" t="s">
        <v>1530</v>
      </c>
      <c r="E652" s="152">
        <v>40352</v>
      </c>
      <c r="F652" s="149">
        <v>11</v>
      </c>
      <c r="G652" s="149">
        <v>8481</v>
      </c>
    </row>
    <row r="653" spans="1:7" x14ac:dyDescent="0.25">
      <c r="A653" s="148" t="s">
        <v>1532</v>
      </c>
      <c r="B653" s="148" t="s">
        <v>1535</v>
      </c>
      <c r="C653" s="148" t="s">
        <v>1523</v>
      </c>
      <c r="D653" s="148" t="s">
        <v>1528</v>
      </c>
      <c r="E653" s="152">
        <v>40708</v>
      </c>
      <c r="F653" s="149">
        <v>11</v>
      </c>
      <c r="G653" s="149">
        <v>10835</v>
      </c>
    </row>
    <row r="654" spans="1:7" x14ac:dyDescent="0.25">
      <c r="A654" s="148" t="s">
        <v>1525</v>
      </c>
      <c r="B654" s="148" t="s">
        <v>1535</v>
      </c>
      <c r="C654" s="148" t="s">
        <v>1523</v>
      </c>
      <c r="D654" s="148" t="s">
        <v>1528</v>
      </c>
      <c r="E654" s="152">
        <v>40814</v>
      </c>
      <c r="F654" s="149">
        <v>11</v>
      </c>
      <c r="G654" s="149">
        <v>11253</v>
      </c>
    </row>
    <row r="655" spans="1:7" x14ac:dyDescent="0.25">
      <c r="A655" s="148" t="s">
        <v>1526</v>
      </c>
      <c r="B655" s="148" t="s">
        <v>1535</v>
      </c>
      <c r="C655" s="148" t="s">
        <v>1519</v>
      </c>
      <c r="D655" s="148" t="s">
        <v>1528</v>
      </c>
      <c r="E655" s="152">
        <v>40708</v>
      </c>
      <c r="F655" s="149">
        <v>11</v>
      </c>
      <c r="G655" s="149">
        <v>7733</v>
      </c>
    </row>
    <row r="656" spans="1:7" x14ac:dyDescent="0.25">
      <c r="A656" s="148" t="s">
        <v>1526</v>
      </c>
      <c r="B656" s="148" t="s">
        <v>1535</v>
      </c>
      <c r="C656" s="148" t="s">
        <v>1519</v>
      </c>
      <c r="D656" s="148" t="s">
        <v>1533</v>
      </c>
      <c r="E656" s="152">
        <v>40554</v>
      </c>
      <c r="F656" s="149">
        <v>12</v>
      </c>
      <c r="G656" s="149">
        <v>10224</v>
      </c>
    </row>
    <row r="657" spans="1:7" x14ac:dyDescent="0.25">
      <c r="A657" s="148" t="s">
        <v>1516</v>
      </c>
      <c r="B657" s="148" t="s">
        <v>1535</v>
      </c>
      <c r="C657" s="148" t="s">
        <v>1517</v>
      </c>
      <c r="D657" s="148" t="s">
        <v>1533</v>
      </c>
      <c r="E657" s="152">
        <v>40241</v>
      </c>
      <c r="F657" s="149">
        <v>12</v>
      </c>
      <c r="G657" s="153">
        <v>7824</v>
      </c>
    </row>
    <row r="658" spans="1:7" x14ac:dyDescent="0.25">
      <c r="A658" s="148" t="s">
        <v>1525</v>
      </c>
      <c r="B658" s="148" t="s">
        <v>1535</v>
      </c>
      <c r="C658" s="148" t="s">
        <v>1517</v>
      </c>
      <c r="D658" s="148" t="s">
        <v>1533</v>
      </c>
      <c r="E658" s="152">
        <v>40473</v>
      </c>
      <c r="F658" s="149">
        <v>12</v>
      </c>
      <c r="G658" s="149">
        <v>15144</v>
      </c>
    </row>
    <row r="659" spans="1:7" x14ac:dyDescent="0.25">
      <c r="A659" s="148" t="s">
        <v>1532</v>
      </c>
      <c r="B659" s="148" t="s">
        <v>1535</v>
      </c>
      <c r="C659" s="148" t="s">
        <v>1523</v>
      </c>
      <c r="D659" s="148" t="s">
        <v>1513</v>
      </c>
      <c r="E659" s="152">
        <v>40183</v>
      </c>
      <c r="F659" s="149">
        <v>12</v>
      </c>
      <c r="G659" s="149">
        <v>10692</v>
      </c>
    </row>
    <row r="660" spans="1:7" x14ac:dyDescent="0.25">
      <c r="A660" s="148" t="s">
        <v>1520</v>
      </c>
      <c r="B660" s="148" t="s">
        <v>1535</v>
      </c>
      <c r="C660" s="148" t="s">
        <v>1523</v>
      </c>
      <c r="D660" s="148" t="s">
        <v>1513</v>
      </c>
      <c r="E660" s="152">
        <v>40283</v>
      </c>
      <c r="F660" s="149">
        <v>12</v>
      </c>
      <c r="G660" s="149">
        <v>12672</v>
      </c>
    </row>
    <row r="661" spans="1:7" x14ac:dyDescent="0.25">
      <c r="A661" s="148" t="s">
        <v>1520</v>
      </c>
      <c r="B661" s="148" t="s">
        <v>1535</v>
      </c>
      <c r="C661" s="148" t="s">
        <v>1523</v>
      </c>
      <c r="D661" s="148" t="s">
        <v>1513</v>
      </c>
      <c r="E661" s="152">
        <v>40354</v>
      </c>
      <c r="F661" s="149">
        <v>12</v>
      </c>
      <c r="G661" s="149">
        <v>8568</v>
      </c>
    </row>
    <row r="662" spans="1:7" x14ac:dyDescent="0.25">
      <c r="A662" s="148" t="s">
        <v>1527</v>
      </c>
      <c r="B662" s="148" t="s">
        <v>1535</v>
      </c>
      <c r="C662" s="148" t="s">
        <v>1519</v>
      </c>
      <c r="D662" s="148" t="s">
        <v>1513</v>
      </c>
      <c r="E662" s="152">
        <v>40413</v>
      </c>
      <c r="F662" s="149">
        <v>12</v>
      </c>
      <c r="G662" s="149">
        <v>17328</v>
      </c>
    </row>
    <row r="663" spans="1:7" x14ac:dyDescent="0.25">
      <c r="A663" s="148" t="s">
        <v>1520</v>
      </c>
      <c r="B663" s="148" t="s">
        <v>1535</v>
      </c>
      <c r="C663" s="148" t="s">
        <v>1523</v>
      </c>
      <c r="D663" s="148" t="s">
        <v>1531</v>
      </c>
      <c r="E663" s="152">
        <v>40417</v>
      </c>
      <c r="F663" s="149">
        <v>12</v>
      </c>
      <c r="G663" s="149">
        <v>17160</v>
      </c>
    </row>
    <row r="664" spans="1:7" x14ac:dyDescent="0.25">
      <c r="A664" s="148" t="s">
        <v>1518</v>
      </c>
      <c r="B664" s="148" t="s">
        <v>1535</v>
      </c>
      <c r="C664" s="148" t="s">
        <v>1519</v>
      </c>
      <c r="D664" s="148" t="s">
        <v>1531</v>
      </c>
      <c r="E664" s="152">
        <v>40738</v>
      </c>
      <c r="F664" s="149">
        <v>12</v>
      </c>
      <c r="G664" s="149">
        <v>7152</v>
      </c>
    </row>
    <row r="665" spans="1:7" x14ac:dyDescent="0.25">
      <c r="A665" s="148" t="s">
        <v>1516</v>
      </c>
      <c r="B665" s="148" t="s">
        <v>1535</v>
      </c>
      <c r="C665" s="148" t="s">
        <v>1514</v>
      </c>
      <c r="D665" s="148" t="s">
        <v>1531</v>
      </c>
      <c r="E665" s="152">
        <v>40863</v>
      </c>
      <c r="F665" s="149">
        <v>12</v>
      </c>
      <c r="G665" s="149">
        <v>13140</v>
      </c>
    </row>
    <row r="666" spans="1:7" x14ac:dyDescent="0.25">
      <c r="A666" s="148" t="s">
        <v>1522</v>
      </c>
      <c r="B666" s="148" t="s">
        <v>1535</v>
      </c>
      <c r="C666" s="148" t="s">
        <v>1523</v>
      </c>
      <c r="D666" s="148" t="s">
        <v>1530</v>
      </c>
      <c r="E666" s="152">
        <v>40330</v>
      </c>
      <c r="F666" s="149">
        <v>12</v>
      </c>
      <c r="G666" s="149">
        <v>7608</v>
      </c>
    </row>
    <row r="667" spans="1:7" x14ac:dyDescent="0.25">
      <c r="A667" s="148" t="s">
        <v>1522</v>
      </c>
      <c r="B667" s="148" t="s">
        <v>1535</v>
      </c>
      <c r="C667" s="148" t="s">
        <v>1519</v>
      </c>
      <c r="D667" s="148" t="s">
        <v>1530</v>
      </c>
      <c r="E667" s="152">
        <v>40365</v>
      </c>
      <c r="F667" s="149">
        <v>12</v>
      </c>
      <c r="G667" s="149">
        <v>14340</v>
      </c>
    </row>
    <row r="668" spans="1:7" x14ac:dyDescent="0.25">
      <c r="A668" s="148" t="s">
        <v>1534</v>
      </c>
      <c r="B668" s="148" t="s">
        <v>1535</v>
      </c>
      <c r="C668" s="148" t="s">
        <v>1519</v>
      </c>
      <c r="D668" s="148" t="s">
        <v>1530</v>
      </c>
      <c r="E668" s="152">
        <v>40736</v>
      </c>
      <c r="F668" s="149">
        <v>12</v>
      </c>
      <c r="G668" s="149">
        <v>6396</v>
      </c>
    </row>
    <row r="669" spans="1:7" x14ac:dyDescent="0.25">
      <c r="A669" s="148" t="s">
        <v>1529</v>
      </c>
      <c r="B669" s="148" t="s">
        <v>1535</v>
      </c>
      <c r="C669" s="148" t="s">
        <v>1517</v>
      </c>
      <c r="D669" s="148" t="s">
        <v>1530</v>
      </c>
      <c r="E669" s="152">
        <v>40442</v>
      </c>
      <c r="F669" s="149">
        <v>12</v>
      </c>
      <c r="G669" s="149">
        <v>6648</v>
      </c>
    </row>
    <row r="670" spans="1:7" x14ac:dyDescent="0.25">
      <c r="A670" s="148" t="s">
        <v>1520</v>
      </c>
      <c r="B670" s="148" t="s">
        <v>1535</v>
      </c>
      <c r="C670" s="148" t="s">
        <v>1519</v>
      </c>
      <c r="D670" s="148" t="s">
        <v>1528</v>
      </c>
      <c r="E670" s="152">
        <v>40283</v>
      </c>
      <c r="F670" s="149">
        <v>12</v>
      </c>
      <c r="G670" s="149">
        <v>14616</v>
      </c>
    </row>
    <row r="671" spans="1:7" x14ac:dyDescent="0.25">
      <c r="A671" s="148" t="s">
        <v>1521</v>
      </c>
      <c r="B671" s="148" t="s">
        <v>1535</v>
      </c>
      <c r="C671" s="148" t="s">
        <v>1514</v>
      </c>
      <c r="D671" s="148" t="s">
        <v>1528</v>
      </c>
      <c r="E671" s="152">
        <v>40471</v>
      </c>
      <c r="F671" s="149">
        <v>12</v>
      </c>
      <c r="G671" s="149">
        <v>17388</v>
      </c>
    </row>
    <row r="672" spans="1:7" x14ac:dyDescent="0.25">
      <c r="A672" s="148" t="s">
        <v>1522</v>
      </c>
      <c r="B672" s="148" t="s">
        <v>1535</v>
      </c>
      <c r="C672" s="148" t="s">
        <v>1523</v>
      </c>
      <c r="D672" s="148" t="s">
        <v>1533</v>
      </c>
      <c r="E672" s="152">
        <v>40427</v>
      </c>
      <c r="F672" s="149">
        <v>13</v>
      </c>
      <c r="G672" s="149">
        <v>18304</v>
      </c>
    </row>
    <row r="673" spans="1:7" x14ac:dyDescent="0.25">
      <c r="A673" s="148" t="s">
        <v>1534</v>
      </c>
      <c r="B673" s="148" t="s">
        <v>1535</v>
      </c>
      <c r="C673" s="148" t="s">
        <v>1519</v>
      </c>
      <c r="D673" s="148" t="s">
        <v>1533</v>
      </c>
      <c r="E673" s="152">
        <v>40764</v>
      </c>
      <c r="F673" s="149">
        <v>13</v>
      </c>
      <c r="G673" s="149">
        <v>6864</v>
      </c>
    </row>
    <row r="674" spans="1:7" x14ac:dyDescent="0.25">
      <c r="A674" s="148" t="s">
        <v>1522</v>
      </c>
      <c r="B674" s="148" t="s">
        <v>1535</v>
      </c>
      <c r="C674" s="148" t="s">
        <v>1517</v>
      </c>
      <c r="D674" s="148" t="s">
        <v>1533</v>
      </c>
      <c r="E674" s="152">
        <v>40275</v>
      </c>
      <c r="F674" s="149">
        <v>13</v>
      </c>
      <c r="G674" s="149">
        <v>15171</v>
      </c>
    </row>
    <row r="675" spans="1:7" x14ac:dyDescent="0.25">
      <c r="A675" s="148" t="s">
        <v>1521</v>
      </c>
      <c r="B675" s="148" t="s">
        <v>1535</v>
      </c>
      <c r="C675" s="148" t="s">
        <v>1517</v>
      </c>
      <c r="D675" s="148" t="s">
        <v>1533</v>
      </c>
      <c r="E675" s="152">
        <v>40491</v>
      </c>
      <c r="F675" s="149">
        <v>13</v>
      </c>
      <c r="G675" s="149">
        <v>15821</v>
      </c>
    </row>
    <row r="676" spans="1:7" x14ac:dyDescent="0.25">
      <c r="A676" s="148" t="s">
        <v>1520</v>
      </c>
      <c r="B676" s="148" t="s">
        <v>1535</v>
      </c>
      <c r="C676" s="148" t="s">
        <v>1514</v>
      </c>
      <c r="D676" s="148" t="s">
        <v>1533</v>
      </c>
      <c r="E676" s="152">
        <v>40772</v>
      </c>
      <c r="F676" s="149">
        <v>13</v>
      </c>
      <c r="G676" s="149">
        <v>14079</v>
      </c>
    </row>
    <row r="677" spans="1:7" x14ac:dyDescent="0.25">
      <c r="A677" s="148" t="s">
        <v>1534</v>
      </c>
      <c r="B677" s="148" t="s">
        <v>1535</v>
      </c>
      <c r="C677" s="148" t="s">
        <v>1519</v>
      </c>
      <c r="D677" s="148" t="s">
        <v>1513</v>
      </c>
      <c r="E677" s="152">
        <v>40498</v>
      </c>
      <c r="F677" s="149">
        <v>13</v>
      </c>
      <c r="G677" s="149">
        <v>6682</v>
      </c>
    </row>
    <row r="678" spans="1:7" x14ac:dyDescent="0.25">
      <c r="A678" s="148" t="s">
        <v>1518</v>
      </c>
      <c r="B678" s="148" t="s">
        <v>1535</v>
      </c>
      <c r="C678" s="148" t="s">
        <v>1517</v>
      </c>
      <c r="D678" s="148" t="s">
        <v>1513</v>
      </c>
      <c r="E678" s="152">
        <v>40518</v>
      </c>
      <c r="F678" s="149">
        <v>13</v>
      </c>
      <c r="G678" s="149">
        <v>15639</v>
      </c>
    </row>
    <row r="679" spans="1:7" x14ac:dyDescent="0.25">
      <c r="A679" s="148" t="s">
        <v>1516</v>
      </c>
      <c r="B679" s="148" t="s">
        <v>1535</v>
      </c>
      <c r="C679" s="148" t="s">
        <v>1514</v>
      </c>
      <c r="D679" s="148" t="s">
        <v>1513</v>
      </c>
      <c r="E679" s="152">
        <v>40432</v>
      </c>
      <c r="F679" s="149">
        <v>13</v>
      </c>
      <c r="G679" s="149">
        <v>18226</v>
      </c>
    </row>
    <row r="680" spans="1:7" x14ac:dyDescent="0.25">
      <c r="A680" s="148" t="s">
        <v>1525</v>
      </c>
      <c r="B680" s="148" t="s">
        <v>1535</v>
      </c>
      <c r="C680" s="148" t="s">
        <v>1523</v>
      </c>
      <c r="D680" s="148" t="s">
        <v>1530</v>
      </c>
      <c r="E680" s="152">
        <v>40274</v>
      </c>
      <c r="F680" s="149">
        <v>13</v>
      </c>
      <c r="G680" s="149">
        <v>12155</v>
      </c>
    </row>
    <row r="681" spans="1:7" x14ac:dyDescent="0.25">
      <c r="A681" s="148" t="s">
        <v>1529</v>
      </c>
      <c r="B681" s="148" t="s">
        <v>1535</v>
      </c>
      <c r="C681" s="148" t="s">
        <v>1517</v>
      </c>
      <c r="D681" s="148" t="s">
        <v>1530</v>
      </c>
      <c r="E681" s="152">
        <v>40379</v>
      </c>
      <c r="F681" s="149">
        <v>13</v>
      </c>
      <c r="G681" s="149">
        <v>15015</v>
      </c>
    </row>
    <row r="682" spans="1:7" x14ac:dyDescent="0.25">
      <c r="A682" s="148" t="s">
        <v>1527</v>
      </c>
      <c r="B682" s="148" t="s">
        <v>1535</v>
      </c>
      <c r="C682" s="148" t="s">
        <v>1517</v>
      </c>
      <c r="D682" s="148" t="s">
        <v>1513</v>
      </c>
      <c r="E682" s="152">
        <v>40218</v>
      </c>
      <c r="F682" s="149">
        <v>14</v>
      </c>
      <c r="G682" s="149">
        <v>10402</v>
      </c>
    </row>
    <row r="683" spans="1:7" x14ac:dyDescent="0.25">
      <c r="A683" s="148" t="s">
        <v>1529</v>
      </c>
      <c r="B683" s="148" t="s">
        <v>1535</v>
      </c>
      <c r="C683" s="148" t="s">
        <v>1523</v>
      </c>
      <c r="D683" s="148" t="s">
        <v>1531</v>
      </c>
      <c r="E683" s="152">
        <v>40214</v>
      </c>
      <c r="F683" s="149">
        <v>14</v>
      </c>
      <c r="G683" s="153">
        <v>16632</v>
      </c>
    </row>
    <row r="684" spans="1:7" x14ac:dyDescent="0.25">
      <c r="A684" s="148" t="s">
        <v>1532</v>
      </c>
      <c r="B684" s="148" t="s">
        <v>1535</v>
      </c>
      <c r="C684" s="148" t="s">
        <v>1519</v>
      </c>
      <c r="D684" s="148" t="s">
        <v>1531</v>
      </c>
      <c r="E684" s="152">
        <v>40338</v>
      </c>
      <c r="F684" s="149">
        <v>14</v>
      </c>
      <c r="G684" s="149">
        <v>16086</v>
      </c>
    </row>
    <row r="685" spans="1:7" x14ac:dyDescent="0.25">
      <c r="A685" s="148" t="s">
        <v>1521</v>
      </c>
      <c r="B685" s="148" t="s">
        <v>1535</v>
      </c>
      <c r="C685" s="148" t="s">
        <v>1514</v>
      </c>
      <c r="D685" s="148" t="s">
        <v>1531</v>
      </c>
      <c r="E685" s="152">
        <v>40729</v>
      </c>
      <c r="F685" s="149">
        <v>14</v>
      </c>
      <c r="G685" s="149">
        <v>20020</v>
      </c>
    </row>
    <row r="686" spans="1:7" x14ac:dyDescent="0.25">
      <c r="A686" s="148" t="s">
        <v>1516</v>
      </c>
      <c r="B686" s="148" t="s">
        <v>1535</v>
      </c>
      <c r="C686" s="148" t="s">
        <v>1523</v>
      </c>
      <c r="D686" s="148" t="s">
        <v>1530</v>
      </c>
      <c r="E686" s="152">
        <v>40438</v>
      </c>
      <c r="F686" s="149">
        <v>14</v>
      </c>
      <c r="G686" s="149">
        <v>11564</v>
      </c>
    </row>
    <row r="687" spans="1:7" x14ac:dyDescent="0.25">
      <c r="A687" s="148" t="s">
        <v>1518</v>
      </c>
      <c r="B687" s="148" t="s">
        <v>1535</v>
      </c>
      <c r="C687" s="148" t="s">
        <v>1523</v>
      </c>
      <c r="D687" s="148" t="s">
        <v>1530</v>
      </c>
      <c r="E687" s="152">
        <v>40561</v>
      </c>
      <c r="F687" s="149">
        <v>14</v>
      </c>
      <c r="G687" s="149">
        <v>16422</v>
      </c>
    </row>
    <row r="688" spans="1:7" x14ac:dyDescent="0.25">
      <c r="A688" s="148" t="s">
        <v>1529</v>
      </c>
      <c r="B688" s="148" t="s">
        <v>1535</v>
      </c>
      <c r="C688" s="148" t="s">
        <v>1523</v>
      </c>
      <c r="D688" s="148" t="s">
        <v>1533</v>
      </c>
      <c r="E688" s="152">
        <v>40885</v>
      </c>
      <c r="F688" s="149">
        <v>15</v>
      </c>
      <c r="G688" s="149">
        <v>8520</v>
      </c>
    </row>
    <row r="689" spans="1:7" x14ac:dyDescent="0.25">
      <c r="A689" s="148" t="s">
        <v>1525</v>
      </c>
      <c r="B689" s="148" t="s">
        <v>1535</v>
      </c>
      <c r="C689" s="148" t="s">
        <v>1514</v>
      </c>
      <c r="D689" s="148" t="s">
        <v>1533</v>
      </c>
      <c r="E689" s="152">
        <v>40737</v>
      </c>
      <c r="F689" s="149">
        <v>15</v>
      </c>
      <c r="G689" s="149">
        <v>12765</v>
      </c>
    </row>
    <row r="690" spans="1:7" x14ac:dyDescent="0.25">
      <c r="A690" s="148" t="s">
        <v>1518</v>
      </c>
      <c r="B690" s="148" t="s">
        <v>1535</v>
      </c>
      <c r="C690" s="148" t="s">
        <v>1523</v>
      </c>
      <c r="D690" s="148" t="s">
        <v>1513</v>
      </c>
      <c r="E690" s="152">
        <v>40225</v>
      </c>
      <c r="F690" s="149">
        <v>15</v>
      </c>
      <c r="G690" s="149">
        <v>8325</v>
      </c>
    </row>
    <row r="691" spans="1:7" x14ac:dyDescent="0.25">
      <c r="A691" s="148" t="s">
        <v>1525</v>
      </c>
      <c r="B691" s="148" t="s">
        <v>1535</v>
      </c>
      <c r="C691" s="148" t="s">
        <v>1519</v>
      </c>
      <c r="D691" s="148" t="s">
        <v>1531</v>
      </c>
      <c r="E691" s="152">
        <v>40820</v>
      </c>
      <c r="F691" s="149">
        <v>15</v>
      </c>
      <c r="G691" s="149">
        <v>20790</v>
      </c>
    </row>
    <row r="692" spans="1:7" x14ac:dyDescent="0.25">
      <c r="A692" s="148" t="s">
        <v>1518</v>
      </c>
      <c r="B692" s="148" t="s">
        <v>1535</v>
      </c>
      <c r="C692" s="148" t="s">
        <v>1514</v>
      </c>
      <c r="D692" s="148" t="s">
        <v>1531</v>
      </c>
      <c r="E692" s="152">
        <v>40673</v>
      </c>
      <c r="F692" s="149">
        <v>15</v>
      </c>
      <c r="G692" s="149">
        <v>19050</v>
      </c>
    </row>
    <row r="693" spans="1:7" x14ac:dyDescent="0.25">
      <c r="A693" s="148" t="s">
        <v>1534</v>
      </c>
      <c r="B693" s="148" t="s">
        <v>1535</v>
      </c>
      <c r="C693" s="148" t="s">
        <v>1514</v>
      </c>
      <c r="D693" s="148" t="s">
        <v>1531</v>
      </c>
      <c r="E693" s="152">
        <v>40717</v>
      </c>
      <c r="F693" s="149">
        <v>15</v>
      </c>
      <c r="G693" s="149">
        <v>16860</v>
      </c>
    </row>
    <row r="694" spans="1:7" x14ac:dyDescent="0.25">
      <c r="A694" s="148" t="s">
        <v>1518</v>
      </c>
      <c r="B694" s="148" t="s">
        <v>1535</v>
      </c>
      <c r="C694" s="148" t="s">
        <v>1517</v>
      </c>
      <c r="D694" s="148" t="s">
        <v>1528</v>
      </c>
      <c r="E694" s="152">
        <v>40728</v>
      </c>
      <c r="F694" s="149">
        <v>15</v>
      </c>
      <c r="G694" s="149">
        <v>13725</v>
      </c>
    </row>
    <row r="695" spans="1:7" x14ac:dyDescent="0.25">
      <c r="A695" s="148" t="s">
        <v>1529</v>
      </c>
      <c r="B695" s="148" t="s">
        <v>1535</v>
      </c>
      <c r="C695" s="148" t="s">
        <v>1517</v>
      </c>
      <c r="D695" s="148" t="s">
        <v>1528</v>
      </c>
      <c r="E695" s="152">
        <v>40779</v>
      </c>
      <c r="F695" s="149">
        <v>15</v>
      </c>
      <c r="G695" s="149">
        <v>12450</v>
      </c>
    </row>
    <row r="696" spans="1:7" x14ac:dyDescent="0.25">
      <c r="A696" s="148" t="s">
        <v>1534</v>
      </c>
      <c r="B696" s="148" t="s">
        <v>1535</v>
      </c>
      <c r="C696" s="148" t="s">
        <v>1514</v>
      </c>
      <c r="D696" s="148" t="s">
        <v>1528</v>
      </c>
      <c r="E696" s="152">
        <v>40798</v>
      </c>
      <c r="F696" s="149">
        <v>15</v>
      </c>
      <c r="G696" s="149">
        <v>18315</v>
      </c>
    </row>
    <row r="697" spans="1:7" x14ac:dyDescent="0.25">
      <c r="A697" s="148" t="s">
        <v>1525</v>
      </c>
      <c r="B697" s="148" t="s">
        <v>1535</v>
      </c>
      <c r="C697" s="148" t="s">
        <v>1523</v>
      </c>
      <c r="D697" s="148" t="s">
        <v>1513</v>
      </c>
      <c r="E697" s="152">
        <v>40550</v>
      </c>
      <c r="F697" s="149">
        <v>16</v>
      </c>
      <c r="G697" s="149">
        <v>10880</v>
      </c>
    </row>
    <row r="698" spans="1:7" x14ac:dyDescent="0.25">
      <c r="A698" s="148" t="s">
        <v>1527</v>
      </c>
      <c r="B698" s="148" t="s">
        <v>1535</v>
      </c>
      <c r="C698" s="148" t="s">
        <v>1519</v>
      </c>
      <c r="D698" s="148" t="s">
        <v>1513</v>
      </c>
      <c r="E698" s="152">
        <v>40679</v>
      </c>
      <c r="F698" s="149">
        <v>17</v>
      </c>
      <c r="G698" s="149">
        <v>10115</v>
      </c>
    </row>
    <row r="699" spans="1:7" x14ac:dyDescent="0.25">
      <c r="A699" s="148" t="s">
        <v>1521</v>
      </c>
      <c r="B699" s="148" t="s">
        <v>1535</v>
      </c>
      <c r="C699" s="148" t="s">
        <v>1514</v>
      </c>
      <c r="D699" s="148" t="s">
        <v>1513</v>
      </c>
      <c r="E699" s="152">
        <v>40221</v>
      </c>
      <c r="F699" s="149">
        <v>17</v>
      </c>
      <c r="G699" s="149">
        <v>15011</v>
      </c>
    </row>
    <row r="700" spans="1:7" x14ac:dyDescent="0.25">
      <c r="A700" s="148" t="s">
        <v>1534</v>
      </c>
      <c r="B700" s="148" t="s">
        <v>1535</v>
      </c>
      <c r="C700" s="148" t="s">
        <v>1517</v>
      </c>
      <c r="D700" s="148" t="s">
        <v>1513</v>
      </c>
      <c r="E700" s="152">
        <v>40618</v>
      </c>
      <c r="F700" s="149">
        <v>18</v>
      </c>
      <c r="G700" s="149">
        <v>9864</v>
      </c>
    </row>
    <row r="701" spans="1:7" x14ac:dyDescent="0.25">
      <c r="A701" s="148" t="s">
        <v>1522</v>
      </c>
      <c r="B701" s="148" t="s">
        <v>1535</v>
      </c>
      <c r="C701" s="148" t="s">
        <v>1519</v>
      </c>
      <c r="D701" s="148" t="s">
        <v>1513</v>
      </c>
      <c r="E701" s="152">
        <v>40530</v>
      </c>
      <c r="F701" s="149">
        <v>19</v>
      </c>
      <c r="G701" s="149">
        <v>15371</v>
      </c>
    </row>
    <row r="702" spans="1:7" x14ac:dyDescent="0.25">
      <c r="A702" s="148" t="s">
        <v>1525</v>
      </c>
      <c r="B702" s="148" t="s">
        <v>1535</v>
      </c>
      <c r="C702" s="148" t="s">
        <v>1514</v>
      </c>
      <c r="D702" s="148" t="s">
        <v>1513</v>
      </c>
      <c r="E702" s="152">
        <v>40816</v>
      </c>
      <c r="F702" s="149">
        <v>19</v>
      </c>
      <c r="G702" s="149">
        <v>28234</v>
      </c>
    </row>
    <row r="703" spans="1:7" x14ac:dyDescent="0.25">
      <c r="A703" s="148" t="s">
        <v>1534</v>
      </c>
      <c r="B703" s="148" t="s">
        <v>1535</v>
      </c>
      <c r="C703" s="148" t="s">
        <v>1517</v>
      </c>
      <c r="D703" s="148" t="s">
        <v>1513</v>
      </c>
      <c r="E703" s="152">
        <v>40198</v>
      </c>
      <c r="F703" s="149">
        <v>20</v>
      </c>
      <c r="G703" s="149">
        <v>12720</v>
      </c>
    </row>
    <row r="704" spans="1:7" x14ac:dyDescent="0.25">
      <c r="A704" s="148" t="s">
        <v>1527</v>
      </c>
      <c r="B704" s="148" t="s">
        <v>1535</v>
      </c>
      <c r="C704" s="148" t="s">
        <v>1517</v>
      </c>
      <c r="D704" s="148" t="s">
        <v>1513</v>
      </c>
      <c r="E704" s="152">
        <v>40451</v>
      </c>
      <c r="F704" s="149">
        <v>20</v>
      </c>
      <c r="G704" s="149">
        <v>11480</v>
      </c>
    </row>
    <row r="705" spans="1:7" x14ac:dyDescent="0.25">
      <c r="A705" s="148" t="s">
        <v>1527</v>
      </c>
      <c r="B705" s="148" t="s">
        <v>1535</v>
      </c>
      <c r="C705" s="148" t="s">
        <v>1514</v>
      </c>
      <c r="D705" s="148" t="s">
        <v>1513</v>
      </c>
      <c r="E705" s="152">
        <v>40225</v>
      </c>
      <c r="F705" s="149">
        <v>20</v>
      </c>
      <c r="G705" s="149">
        <v>26840</v>
      </c>
    </row>
    <row r="706" spans="1:7" x14ac:dyDescent="0.25">
      <c r="A706" s="148" t="s">
        <v>1527</v>
      </c>
      <c r="B706" s="148" t="s">
        <v>1535</v>
      </c>
      <c r="C706" s="148" t="s">
        <v>1514</v>
      </c>
      <c r="D706" s="148" t="s">
        <v>1513</v>
      </c>
      <c r="E706" s="152">
        <v>40261</v>
      </c>
      <c r="F706" s="149">
        <v>20</v>
      </c>
      <c r="G706" s="149">
        <v>16620</v>
      </c>
    </row>
    <row r="707" spans="1:7" x14ac:dyDescent="0.25">
      <c r="A707" s="148" t="s">
        <v>1527</v>
      </c>
      <c r="B707" s="148" t="s">
        <v>1535</v>
      </c>
      <c r="C707" s="148" t="s">
        <v>1514</v>
      </c>
      <c r="D707" s="148" t="s">
        <v>1513</v>
      </c>
      <c r="E707" s="152">
        <v>40539</v>
      </c>
      <c r="F707" s="149">
        <v>20</v>
      </c>
      <c r="G707" s="149">
        <v>27120</v>
      </c>
    </row>
    <row r="708" spans="1:7" x14ac:dyDescent="0.25">
      <c r="A708" s="148" t="s">
        <v>1524</v>
      </c>
      <c r="B708" s="148" t="s">
        <v>1515</v>
      </c>
      <c r="C708" s="148" t="s">
        <v>1519</v>
      </c>
      <c r="D708" s="148" t="s">
        <v>1533</v>
      </c>
      <c r="E708" s="152">
        <v>40445</v>
      </c>
      <c r="F708" s="149">
        <v>1</v>
      </c>
      <c r="G708" s="149">
        <v>953</v>
      </c>
    </row>
    <row r="709" spans="1:7" x14ac:dyDescent="0.25">
      <c r="A709" s="148" t="s">
        <v>1522</v>
      </c>
      <c r="B709" s="148" t="s">
        <v>1515</v>
      </c>
      <c r="C709" s="148" t="s">
        <v>1514</v>
      </c>
      <c r="D709" s="148" t="s">
        <v>1533</v>
      </c>
      <c r="E709" s="152">
        <v>40549</v>
      </c>
      <c r="F709" s="149">
        <v>1</v>
      </c>
      <c r="G709" s="149">
        <v>1272</v>
      </c>
    </row>
    <row r="710" spans="1:7" x14ac:dyDescent="0.25">
      <c r="A710" s="148" t="s">
        <v>1521</v>
      </c>
      <c r="B710" s="148" t="s">
        <v>1515</v>
      </c>
      <c r="C710" s="148" t="s">
        <v>1523</v>
      </c>
      <c r="D710" s="148" t="s">
        <v>1531</v>
      </c>
      <c r="E710" s="152">
        <v>40255</v>
      </c>
      <c r="F710" s="149">
        <v>1</v>
      </c>
      <c r="G710" s="149">
        <v>1775</v>
      </c>
    </row>
    <row r="711" spans="1:7" x14ac:dyDescent="0.25">
      <c r="A711" s="148" t="s">
        <v>1520</v>
      </c>
      <c r="B711" s="148" t="s">
        <v>1515</v>
      </c>
      <c r="C711" s="148" t="s">
        <v>1523</v>
      </c>
      <c r="D711" s="148" t="s">
        <v>1531</v>
      </c>
      <c r="E711" s="152">
        <v>40288</v>
      </c>
      <c r="F711" s="149">
        <v>1</v>
      </c>
      <c r="G711" s="149">
        <v>419</v>
      </c>
    </row>
    <row r="712" spans="1:7" x14ac:dyDescent="0.25">
      <c r="A712" s="148" t="s">
        <v>1524</v>
      </c>
      <c r="B712" s="148" t="s">
        <v>1515</v>
      </c>
      <c r="C712" s="148" t="s">
        <v>1517</v>
      </c>
      <c r="D712" s="148" t="s">
        <v>1531</v>
      </c>
      <c r="E712" s="152">
        <v>40456</v>
      </c>
      <c r="F712" s="149">
        <v>1</v>
      </c>
      <c r="G712" s="149">
        <v>950</v>
      </c>
    </row>
    <row r="713" spans="1:7" x14ac:dyDescent="0.25">
      <c r="A713" s="148" t="s">
        <v>1526</v>
      </c>
      <c r="B713" s="148" t="s">
        <v>1515</v>
      </c>
      <c r="C713" s="148" t="s">
        <v>1517</v>
      </c>
      <c r="D713" s="148" t="s">
        <v>1530</v>
      </c>
      <c r="E713" s="152">
        <v>40775</v>
      </c>
      <c r="F713" s="149">
        <v>1</v>
      </c>
      <c r="G713" s="149">
        <v>1105</v>
      </c>
    </row>
    <row r="714" spans="1:7" x14ac:dyDescent="0.25">
      <c r="A714" s="148" t="s">
        <v>1521</v>
      </c>
      <c r="B714" s="148" t="s">
        <v>1515</v>
      </c>
      <c r="C714" s="148" t="s">
        <v>1523</v>
      </c>
      <c r="D714" s="148" t="s">
        <v>1528</v>
      </c>
      <c r="E714" s="152">
        <v>40448</v>
      </c>
      <c r="F714" s="149">
        <v>1</v>
      </c>
      <c r="G714" s="149">
        <v>1174</v>
      </c>
    </row>
    <row r="715" spans="1:7" x14ac:dyDescent="0.25">
      <c r="A715" s="148" t="s">
        <v>1516</v>
      </c>
      <c r="B715" s="148" t="s">
        <v>1515</v>
      </c>
      <c r="C715" s="148" t="s">
        <v>1519</v>
      </c>
      <c r="D715" s="148" t="s">
        <v>1528</v>
      </c>
      <c r="E715" s="152">
        <v>40243</v>
      </c>
      <c r="F715" s="149">
        <v>1</v>
      </c>
      <c r="G715" s="153">
        <v>1530</v>
      </c>
    </row>
    <row r="716" spans="1:7" x14ac:dyDescent="0.25">
      <c r="A716" s="148" t="s">
        <v>1525</v>
      </c>
      <c r="B716" s="148" t="s">
        <v>1515</v>
      </c>
      <c r="C716" s="148" t="s">
        <v>1519</v>
      </c>
      <c r="D716" s="148" t="s">
        <v>1528</v>
      </c>
      <c r="E716" s="152">
        <v>40554</v>
      </c>
      <c r="F716" s="149">
        <v>1</v>
      </c>
      <c r="G716" s="149">
        <v>632</v>
      </c>
    </row>
    <row r="717" spans="1:7" x14ac:dyDescent="0.25">
      <c r="A717" s="148" t="s">
        <v>1532</v>
      </c>
      <c r="B717" s="148" t="s">
        <v>1515</v>
      </c>
      <c r="C717" s="148" t="s">
        <v>1519</v>
      </c>
      <c r="D717" s="148" t="s">
        <v>1528</v>
      </c>
      <c r="E717" s="152">
        <v>40821</v>
      </c>
      <c r="F717" s="149">
        <v>1</v>
      </c>
      <c r="G717" s="149">
        <v>630</v>
      </c>
    </row>
    <row r="718" spans="1:7" x14ac:dyDescent="0.25">
      <c r="A718" s="148" t="s">
        <v>1534</v>
      </c>
      <c r="B718" s="148" t="s">
        <v>1515</v>
      </c>
      <c r="C718" s="148" t="s">
        <v>1519</v>
      </c>
      <c r="D718" s="148" t="s">
        <v>1528</v>
      </c>
      <c r="E718" s="152">
        <v>40826</v>
      </c>
      <c r="F718" s="149">
        <v>1</v>
      </c>
      <c r="G718" s="149">
        <v>1939</v>
      </c>
    </row>
    <row r="719" spans="1:7" x14ac:dyDescent="0.25">
      <c r="A719" s="148" t="s">
        <v>1526</v>
      </c>
      <c r="B719" s="148" t="s">
        <v>1515</v>
      </c>
      <c r="C719" s="148" t="s">
        <v>1514</v>
      </c>
      <c r="D719" s="148" t="s">
        <v>1528</v>
      </c>
      <c r="E719" s="152">
        <v>40771</v>
      </c>
      <c r="F719" s="149">
        <v>1</v>
      </c>
      <c r="G719" s="149">
        <v>1284</v>
      </c>
    </row>
    <row r="720" spans="1:7" x14ac:dyDescent="0.25">
      <c r="A720" s="148" t="s">
        <v>1525</v>
      </c>
      <c r="B720" s="148" t="s">
        <v>1515</v>
      </c>
      <c r="C720" s="148" t="s">
        <v>1519</v>
      </c>
      <c r="D720" s="148" t="s">
        <v>1533</v>
      </c>
      <c r="E720" s="152">
        <v>40288</v>
      </c>
      <c r="F720" s="149">
        <v>2</v>
      </c>
      <c r="G720" s="149">
        <v>3694</v>
      </c>
    </row>
    <row r="721" spans="1:7" x14ac:dyDescent="0.25">
      <c r="A721" s="148" t="s">
        <v>1526</v>
      </c>
      <c r="B721" s="148" t="s">
        <v>1515</v>
      </c>
      <c r="C721" s="148" t="s">
        <v>1519</v>
      </c>
      <c r="D721" s="148" t="s">
        <v>1533</v>
      </c>
      <c r="E721" s="152">
        <v>40859</v>
      </c>
      <c r="F721" s="149">
        <v>2</v>
      </c>
      <c r="G721" s="149">
        <v>1584</v>
      </c>
    </row>
    <row r="722" spans="1:7" x14ac:dyDescent="0.25">
      <c r="A722" s="148" t="s">
        <v>1518</v>
      </c>
      <c r="B722" s="148" t="s">
        <v>1515</v>
      </c>
      <c r="C722" s="148" t="s">
        <v>1517</v>
      </c>
      <c r="D722" s="148" t="s">
        <v>1533</v>
      </c>
      <c r="E722" s="152">
        <v>40547</v>
      </c>
      <c r="F722" s="149">
        <v>2</v>
      </c>
      <c r="G722" s="149">
        <v>3768</v>
      </c>
    </row>
    <row r="723" spans="1:7" x14ac:dyDescent="0.25">
      <c r="A723" s="148" t="s">
        <v>1526</v>
      </c>
      <c r="B723" s="148" t="s">
        <v>1515</v>
      </c>
      <c r="C723" s="148" t="s">
        <v>1514</v>
      </c>
      <c r="D723" s="148" t="s">
        <v>1533</v>
      </c>
      <c r="E723" s="152">
        <v>40302</v>
      </c>
      <c r="F723" s="149">
        <v>2</v>
      </c>
      <c r="G723" s="149">
        <v>2064</v>
      </c>
    </row>
    <row r="724" spans="1:7" x14ac:dyDescent="0.25">
      <c r="A724" s="148" t="s">
        <v>1524</v>
      </c>
      <c r="B724" s="148" t="s">
        <v>1515</v>
      </c>
      <c r="C724" s="148" t="s">
        <v>1519</v>
      </c>
      <c r="D724" s="148" t="s">
        <v>1531</v>
      </c>
      <c r="E724" s="152">
        <v>40654</v>
      </c>
      <c r="F724" s="149">
        <v>2</v>
      </c>
      <c r="G724" s="149">
        <v>2158</v>
      </c>
    </row>
    <row r="725" spans="1:7" x14ac:dyDescent="0.25">
      <c r="A725" s="148" t="s">
        <v>1516</v>
      </c>
      <c r="B725" s="148" t="s">
        <v>1515</v>
      </c>
      <c r="C725" s="148" t="s">
        <v>1514</v>
      </c>
      <c r="D725" s="148" t="s">
        <v>1531</v>
      </c>
      <c r="E725" s="152">
        <v>40589</v>
      </c>
      <c r="F725" s="149">
        <v>2</v>
      </c>
      <c r="G725" s="149">
        <v>2020</v>
      </c>
    </row>
    <row r="726" spans="1:7" x14ac:dyDescent="0.25">
      <c r="A726" s="148" t="s">
        <v>1529</v>
      </c>
      <c r="B726" s="148" t="s">
        <v>1515</v>
      </c>
      <c r="C726" s="148" t="s">
        <v>1519</v>
      </c>
      <c r="D726" s="148" t="s">
        <v>1530</v>
      </c>
      <c r="E726" s="152">
        <v>40181</v>
      </c>
      <c r="F726" s="149">
        <v>2</v>
      </c>
      <c r="G726" s="153">
        <v>1430</v>
      </c>
    </row>
    <row r="727" spans="1:7" x14ac:dyDescent="0.25">
      <c r="A727" s="148" t="s">
        <v>1526</v>
      </c>
      <c r="B727" s="148" t="s">
        <v>1515</v>
      </c>
      <c r="C727" s="148" t="s">
        <v>1519</v>
      </c>
      <c r="D727" s="148" t="s">
        <v>1530</v>
      </c>
      <c r="E727" s="152">
        <v>40491</v>
      </c>
      <c r="F727" s="149">
        <v>2</v>
      </c>
      <c r="G727" s="149">
        <v>3698</v>
      </c>
    </row>
    <row r="728" spans="1:7" x14ac:dyDescent="0.25">
      <c r="A728" s="148" t="s">
        <v>1521</v>
      </c>
      <c r="B728" s="148" t="s">
        <v>1515</v>
      </c>
      <c r="C728" s="148" t="s">
        <v>1517</v>
      </c>
      <c r="D728" s="148" t="s">
        <v>1530</v>
      </c>
      <c r="E728" s="152">
        <v>40353</v>
      </c>
      <c r="F728" s="149">
        <v>2</v>
      </c>
      <c r="G728" s="149">
        <v>1146</v>
      </c>
    </row>
    <row r="729" spans="1:7" x14ac:dyDescent="0.25">
      <c r="A729" s="148" t="s">
        <v>1521</v>
      </c>
      <c r="B729" s="148" t="s">
        <v>1515</v>
      </c>
      <c r="C729" s="148" t="s">
        <v>1514</v>
      </c>
      <c r="D729" s="148" t="s">
        <v>1530</v>
      </c>
      <c r="E729" s="152">
        <v>40481</v>
      </c>
      <c r="F729" s="149">
        <v>2</v>
      </c>
      <c r="G729" s="149">
        <v>1660</v>
      </c>
    </row>
    <row r="730" spans="1:7" x14ac:dyDescent="0.25">
      <c r="A730" s="148" t="s">
        <v>1525</v>
      </c>
      <c r="B730" s="148" t="s">
        <v>1515</v>
      </c>
      <c r="C730" s="148" t="s">
        <v>1523</v>
      </c>
      <c r="D730" s="148" t="s">
        <v>1528</v>
      </c>
      <c r="E730" s="152">
        <v>40274</v>
      </c>
      <c r="F730" s="149">
        <v>2</v>
      </c>
      <c r="G730" s="149">
        <v>1020</v>
      </c>
    </row>
    <row r="731" spans="1:7" x14ac:dyDescent="0.25">
      <c r="A731" s="148" t="s">
        <v>1518</v>
      </c>
      <c r="B731" s="148" t="s">
        <v>1515</v>
      </c>
      <c r="C731" s="148" t="s">
        <v>1523</v>
      </c>
      <c r="D731" s="148" t="s">
        <v>1528</v>
      </c>
      <c r="E731" s="152">
        <v>40470</v>
      </c>
      <c r="F731" s="149">
        <v>2</v>
      </c>
      <c r="G731" s="149">
        <v>3370</v>
      </c>
    </row>
    <row r="732" spans="1:7" x14ac:dyDescent="0.25">
      <c r="A732" s="148" t="s">
        <v>1524</v>
      </c>
      <c r="B732" s="148" t="s">
        <v>1515</v>
      </c>
      <c r="C732" s="148" t="s">
        <v>1519</v>
      </c>
      <c r="D732" s="148" t="s">
        <v>1528</v>
      </c>
      <c r="E732" s="152">
        <v>40396</v>
      </c>
      <c r="F732" s="149">
        <v>2</v>
      </c>
      <c r="G732" s="149">
        <v>1644</v>
      </c>
    </row>
    <row r="733" spans="1:7" x14ac:dyDescent="0.25">
      <c r="A733" s="148" t="s">
        <v>1527</v>
      </c>
      <c r="B733" s="148" t="s">
        <v>1515</v>
      </c>
      <c r="C733" s="148" t="s">
        <v>1519</v>
      </c>
      <c r="D733" s="148" t="s">
        <v>1528</v>
      </c>
      <c r="E733" s="152">
        <v>40875</v>
      </c>
      <c r="F733" s="149">
        <v>2</v>
      </c>
      <c r="G733" s="149">
        <v>3766</v>
      </c>
    </row>
    <row r="734" spans="1:7" x14ac:dyDescent="0.25">
      <c r="A734" s="148" t="s">
        <v>1521</v>
      </c>
      <c r="B734" s="148" t="s">
        <v>1515</v>
      </c>
      <c r="C734" s="148" t="s">
        <v>1523</v>
      </c>
      <c r="D734" s="148" t="s">
        <v>1533</v>
      </c>
      <c r="E734" s="152">
        <v>40318</v>
      </c>
      <c r="F734" s="149">
        <v>3</v>
      </c>
      <c r="G734" s="149">
        <v>4161</v>
      </c>
    </row>
    <row r="735" spans="1:7" x14ac:dyDescent="0.25">
      <c r="A735" s="148" t="s">
        <v>1518</v>
      </c>
      <c r="B735" s="148" t="s">
        <v>1515</v>
      </c>
      <c r="C735" s="148" t="s">
        <v>1523</v>
      </c>
      <c r="D735" s="148" t="s">
        <v>1533</v>
      </c>
      <c r="E735" s="152">
        <v>40385</v>
      </c>
      <c r="F735" s="149">
        <v>3</v>
      </c>
      <c r="G735" s="149">
        <v>4566</v>
      </c>
    </row>
    <row r="736" spans="1:7" x14ac:dyDescent="0.25">
      <c r="A736" s="148" t="s">
        <v>1516</v>
      </c>
      <c r="B736" s="148" t="s">
        <v>1515</v>
      </c>
      <c r="C736" s="148" t="s">
        <v>1523</v>
      </c>
      <c r="D736" s="148" t="s">
        <v>1533</v>
      </c>
      <c r="E736" s="152">
        <v>40536</v>
      </c>
      <c r="F736" s="149">
        <v>3</v>
      </c>
      <c r="G736" s="149">
        <v>1953</v>
      </c>
    </row>
    <row r="737" spans="1:7" x14ac:dyDescent="0.25">
      <c r="A737" s="148" t="s">
        <v>1518</v>
      </c>
      <c r="B737" s="148" t="s">
        <v>1515</v>
      </c>
      <c r="C737" s="148" t="s">
        <v>1517</v>
      </c>
      <c r="D737" s="148" t="s">
        <v>1533</v>
      </c>
      <c r="E737" s="152">
        <v>40710</v>
      </c>
      <c r="F737" s="149">
        <v>3</v>
      </c>
      <c r="G737" s="149">
        <v>1617</v>
      </c>
    </row>
    <row r="738" spans="1:7" x14ac:dyDescent="0.25">
      <c r="A738" s="148" t="s">
        <v>1521</v>
      </c>
      <c r="B738" s="148" t="s">
        <v>1515</v>
      </c>
      <c r="C738" s="148" t="s">
        <v>1514</v>
      </c>
      <c r="D738" s="148" t="s">
        <v>1533</v>
      </c>
      <c r="E738" s="152">
        <v>40406</v>
      </c>
      <c r="F738" s="149">
        <v>3</v>
      </c>
      <c r="G738" s="149">
        <v>3030</v>
      </c>
    </row>
    <row r="739" spans="1:7" x14ac:dyDescent="0.25">
      <c r="A739" s="148" t="s">
        <v>1526</v>
      </c>
      <c r="B739" s="148" t="s">
        <v>1515</v>
      </c>
      <c r="C739" s="148" t="s">
        <v>1523</v>
      </c>
      <c r="D739" s="148" t="s">
        <v>1531</v>
      </c>
      <c r="E739" s="152">
        <v>40270</v>
      </c>
      <c r="F739" s="149">
        <v>3</v>
      </c>
      <c r="G739" s="149">
        <v>1356</v>
      </c>
    </row>
    <row r="740" spans="1:7" x14ac:dyDescent="0.25">
      <c r="A740" s="148" t="s">
        <v>1521</v>
      </c>
      <c r="B740" s="148" t="s">
        <v>1515</v>
      </c>
      <c r="C740" s="148" t="s">
        <v>1517</v>
      </c>
      <c r="D740" s="148" t="s">
        <v>1531</v>
      </c>
      <c r="E740" s="152">
        <v>40322</v>
      </c>
      <c r="F740" s="149">
        <v>3</v>
      </c>
      <c r="G740" s="149">
        <v>4812</v>
      </c>
    </row>
    <row r="741" spans="1:7" x14ac:dyDescent="0.25">
      <c r="A741" s="148" t="s">
        <v>1520</v>
      </c>
      <c r="B741" s="148" t="s">
        <v>1515</v>
      </c>
      <c r="C741" s="148" t="s">
        <v>1517</v>
      </c>
      <c r="D741" s="148" t="s">
        <v>1530</v>
      </c>
      <c r="E741" s="152">
        <v>40464</v>
      </c>
      <c r="F741" s="149">
        <v>3</v>
      </c>
      <c r="G741" s="149">
        <v>3372</v>
      </c>
    </row>
    <row r="742" spans="1:7" x14ac:dyDescent="0.25">
      <c r="A742" s="148" t="s">
        <v>1518</v>
      </c>
      <c r="B742" s="148" t="s">
        <v>1515</v>
      </c>
      <c r="C742" s="148" t="s">
        <v>1519</v>
      </c>
      <c r="D742" s="148" t="s">
        <v>1528</v>
      </c>
      <c r="E742" s="152">
        <v>40739</v>
      </c>
      <c r="F742" s="149">
        <v>3</v>
      </c>
      <c r="G742" s="149">
        <v>4104</v>
      </c>
    </row>
    <row r="743" spans="1:7" x14ac:dyDescent="0.25">
      <c r="A743" s="148" t="s">
        <v>1526</v>
      </c>
      <c r="B743" s="148" t="s">
        <v>1515</v>
      </c>
      <c r="C743" s="148" t="s">
        <v>1517</v>
      </c>
      <c r="D743" s="148" t="s">
        <v>1528</v>
      </c>
      <c r="E743" s="152">
        <v>40862</v>
      </c>
      <c r="F743" s="149">
        <v>3</v>
      </c>
      <c r="G743" s="149">
        <v>5571</v>
      </c>
    </row>
    <row r="744" spans="1:7" x14ac:dyDescent="0.25">
      <c r="A744" s="148" t="s">
        <v>1516</v>
      </c>
      <c r="B744" s="148" t="s">
        <v>1515</v>
      </c>
      <c r="C744" s="148" t="s">
        <v>1514</v>
      </c>
      <c r="D744" s="148" t="s">
        <v>1528</v>
      </c>
      <c r="E744" s="152">
        <v>40498</v>
      </c>
      <c r="F744" s="149">
        <v>3</v>
      </c>
      <c r="G744" s="149">
        <v>3615</v>
      </c>
    </row>
    <row r="745" spans="1:7" x14ac:dyDescent="0.25">
      <c r="A745" s="148" t="s">
        <v>1525</v>
      </c>
      <c r="B745" s="148" t="s">
        <v>1515</v>
      </c>
      <c r="C745" s="148" t="s">
        <v>1523</v>
      </c>
      <c r="D745" s="148" t="s">
        <v>1533</v>
      </c>
      <c r="E745" s="152">
        <v>40218</v>
      </c>
      <c r="F745" s="149">
        <v>4</v>
      </c>
      <c r="G745" s="153">
        <v>3148</v>
      </c>
    </row>
    <row r="746" spans="1:7" x14ac:dyDescent="0.25">
      <c r="A746" s="148" t="s">
        <v>1516</v>
      </c>
      <c r="B746" s="148" t="s">
        <v>1515</v>
      </c>
      <c r="C746" s="148" t="s">
        <v>1519</v>
      </c>
      <c r="D746" s="148" t="s">
        <v>1533</v>
      </c>
      <c r="E746" s="152">
        <v>40474</v>
      </c>
      <c r="F746" s="149">
        <v>4</v>
      </c>
      <c r="G746" s="149">
        <v>6728</v>
      </c>
    </row>
    <row r="747" spans="1:7" x14ac:dyDescent="0.25">
      <c r="A747" s="148" t="s">
        <v>1527</v>
      </c>
      <c r="B747" s="148" t="s">
        <v>1515</v>
      </c>
      <c r="C747" s="148" t="s">
        <v>1517</v>
      </c>
      <c r="D747" s="148" t="s">
        <v>1533</v>
      </c>
      <c r="E747" s="152">
        <v>40197</v>
      </c>
      <c r="F747" s="149">
        <v>4</v>
      </c>
      <c r="G747" s="153">
        <v>4532</v>
      </c>
    </row>
    <row r="748" spans="1:7" x14ac:dyDescent="0.25">
      <c r="A748" s="148" t="s">
        <v>1534</v>
      </c>
      <c r="B748" s="148" t="s">
        <v>1515</v>
      </c>
      <c r="C748" s="148" t="s">
        <v>1517</v>
      </c>
      <c r="D748" s="148" t="s">
        <v>1533</v>
      </c>
      <c r="E748" s="152">
        <v>40206</v>
      </c>
      <c r="F748" s="149">
        <v>4</v>
      </c>
      <c r="G748" s="153">
        <v>3388</v>
      </c>
    </row>
    <row r="749" spans="1:7" x14ac:dyDescent="0.25">
      <c r="A749" s="148" t="s">
        <v>1527</v>
      </c>
      <c r="B749" s="148" t="s">
        <v>1515</v>
      </c>
      <c r="C749" s="148" t="s">
        <v>1517</v>
      </c>
      <c r="D749" s="148" t="s">
        <v>1533</v>
      </c>
      <c r="E749" s="152">
        <v>40638</v>
      </c>
      <c r="F749" s="149">
        <v>4</v>
      </c>
      <c r="G749" s="149">
        <v>2420</v>
      </c>
    </row>
    <row r="750" spans="1:7" x14ac:dyDescent="0.25">
      <c r="A750" s="148" t="s">
        <v>1526</v>
      </c>
      <c r="B750" s="148" t="s">
        <v>1515</v>
      </c>
      <c r="C750" s="148" t="s">
        <v>1523</v>
      </c>
      <c r="D750" s="148" t="s">
        <v>1531</v>
      </c>
      <c r="E750" s="152">
        <v>40626</v>
      </c>
      <c r="F750" s="149">
        <v>4</v>
      </c>
      <c r="G750" s="149">
        <v>5192</v>
      </c>
    </row>
    <row r="751" spans="1:7" x14ac:dyDescent="0.25">
      <c r="A751" s="148" t="s">
        <v>1518</v>
      </c>
      <c r="B751" s="148" t="s">
        <v>1515</v>
      </c>
      <c r="C751" s="148" t="s">
        <v>1519</v>
      </c>
      <c r="D751" s="148" t="s">
        <v>1531</v>
      </c>
      <c r="E751" s="152">
        <v>40290</v>
      </c>
      <c r="F751" s="149">
        <v>4</v>
      </c>
      <c r="G751" s="149">
        <v>6340</v>
      </c>
    </row>
    <row r="752" spans="1:7" x14ac:dyDescent="0.25">
      <c r="A752" s="148" t="s">
        <v>1529</v>
      </c>
      <c r="B752" s="148" t="s">
        <v>1515</v>
      </c>
      <c r="C752" s="148" t="s">
        <v>1517</v>
      </c>
      <c r="D752" s="148" t="s">
        <v>1531</v>
      </c>
      <c r="E752" s="152">
        <v>40393</v>
      </c>
      <c r="F752" s="149">
        <v>4</v>
      </c>
      <c r="G752" s="149">
        <v>4672</v>
      </c>
    </row>
    <row r="753" spans="1:7" x14ac:dyDescent="0.25">
      <c r="A753" s="148" t="s">
        <v>1527</v>
      </c>
      <c r="B753" s="148" t="s">
        <v>1515</v>
      </c>
      <c r="C753" s="148" t="s">
        <v>1523</v>
      </c>
      <c r="D753" s="148" t="s">
        <v>1530</v>
      </c>
      <c r="E753" s="152">
        <v>40189</v>
      </c>
      <c r="F753" s="149">
        <v>4</v>
      </c>
      <c r="G753" s="153">
        <v>1816</v>
      </c>
    </row>
    <row r="754" spans="1:7" x14ac:dyDescent="0.25">
      <c r="A754" s="148" t="s">
        <v>1527</v>
      </c>
      <c r="B754" s="148" t="s">
        <v>1515</v>
      </c>
      <c r="C754" s="148" t="s">
        <v>1523</v>
      </c>
      <c r="D754" s="148" t="s">
        <v>1530</v>
      </c>
      <c r="E754" s="152">
        <v>40280</v>
      </c>
      <c r="F754" s="149">
        <v>4</v>
      </c>
      <c r="G754" s="149">
        <v>3640</v>
      </c>
    </row>
    <row r="755" spans="1:7" x14ac:dyDescent="0.25">
      <c r="A755" s="148" t="s">
        <v>1520</v>
      </c>
      <c r="B755" s="148" t="s">
        <v>1515</v>
      </c>
      <c r="C755" s="148" t="s">
        <v>1523</v>
      </c>
      <c r="D755" s="148" t="s">
        <v>1530</v>
      </c>
      <c r="E755" s="152">
        <v>40662</v>
      </c>
      <c r="F755" s="149">
        <v>4</v>
      </c>
      <c r="G755" s="149">
        <v>5520</v>
      </c>
    </row>
    <row r="756" spans="1:7" x14ac:dyDescent="0.25">
      <c r="A756" s="148" t="s">
        <v>1521</v>
      </c>
      <c r="B756" s="148" t="s">
        <v>1515</v>
      </c>
      <c r="C756" s="148" t="s">
        <v>1517</v>
      </c>
      <c r="D756" s="148" t="s">
        <v>1530</v>
      </c>
      <c r="E756" s="152">
        <v>40617</v>
      </c>
      <c r="F756" s="149">
        <v>4</v>
      </c>
      <c r="G756" s="149">
        <v>2728</v>
      </c>
    </row>
    <row r="757" spans="1:7" x14ac:dyDescent="0.25">
      <c r="A757" s="148" t="s">
        <v>1521</v>
      </c>
      <c r="B757" s="148" t="s">
        <v>1515</v>
      </c>
      <c r="C757" s="148" t="s">
        <v>1523</v>
      </c>
      <c r="D757" s="148" t="s">
        <v>1533</v>
      </c>
      <c r="E757" s="152">
        <v>40432</v>
      </c>
      <c r="F757" s="149">
        <v>5</v>
      </c>
      <c r="G757" s="149">
        <v>7945</v>
      </c>
    </row>
    <row r="758" spans="1:7" x14ac:dyDescent="0.25">
      <c r="A758" s="148" t="s">
        <v>1526</v>
      </c>
      <c r="B758" s="148" t="s">
        <v>1515</v>
      </c>
      <c r="C758" s="148" t="s">
        <v>1523</v>
      </c>
      <c r="D758" s="148" t="s">
        <v>1533</v>
      </c>
      <c r="E758" s="152">
        <v>40781</v>
      </c>
      <c r="F758" s="149">
        <v>5</v>
      </c>
      <c r="G758" s="149">
        <v>6735</v>
      </c>
    </row>
    <row r="759" spans="1:7" x14ac:dyDescent="0.25">
      <c r="A759" s="148" t="s">
        <v>1527</v>
      </c>
      <c r="B759" s="148" t="s">
        <v>1515</v>
      </c>
      <c r="C759" s="148" t="s">
        <v>1519</v>
      </c>
      <c r="D759" s="148" t="s">
        <v>1533</v>
      </c>
      <c r="E759" s="152">
        <v>40248</v>
      </c>
      <c r="F759" s="149">
        <v>5</v>
      </c>
      <c r="G759" s="153">
        <v>8155</v>
      </c>
    </row>
    <row r="760" spans="1:7" x14ac:dyDescent="0.25">
      <c r="A760" s="148" t="s">
        <v>1529</v>
      </c>
      <c r="B760" s="148" t="s">
        <v>1515</v>
      </c>
      <c r="C760" s="148" t="s">
        <v>1523</v>
      </c>
      <c r="D760" s="148" t="s">
        <v>1530</v>
      </c>
      <c r="E760" s="152">
        <v>40413</v>
      </c>
      <c r="F760" s="149">
        <v>5</v>
      </c>
      <c r="G760" s="149">
        <v>3005</v>
      </c>
    </row>
    <row r="761" spans="1:7" x14ac:dyDescent="0.25">
      <c r="A761" s="148" t="s">
        <v>1526</v>
      </c>
      <c r="B761" s="148" t="s">
        <v>1515</v>
      </c>
      <c r="C761" s="148" t="s">
        <v>1523</v>
      </c>
      <c r="D761" s="148" t="s">
        <v>1530</v>
      </c>
      <c r="E761" s="152">
        <v>40761</v>
      </c>
      <c r="F761" s="149">
        <v>5</v>
      </c>
      <c r="G761" s="149">
        <v>7640</v>
      </c>
    </row>
    <row r="762" spans="1:7" x14ac:dyDescent="0.25">
      <c r="A762" s="148" t="s">
        <v>1524</v>
      </c>
      <c r="B762" s="148" t="s">
        <v>1515</v>
      </c>
      <c r="C762" s="148" t="s">
        <v>1517</v>
      </c>
      <c r="D762" s="148" t="s">
        <v>1530</v>
      </c>
      <c r="E762" s="152">
        <v>40739</v>
      </c>
      <c r="F762" s="149">
        <v>5</v>
      </c>
      <c r="G762" s="149">
        <v>4230</v>
      </c>
    </row>
    <row r="763" spans="1:7" x14ac:dyDescent="0.25">
      <c r="A763" s="148" t="s">
        <v>1525</v>
      </c>
      <c r="B763" s="148" t="s">
        <v>1515</v>
      </c>
      <c r="C763" s="148" t="s">
        <v>1517</v>
      </c>
      <c r="D763" s="148" t="s">
        <v>1530</v>
      </c>
      <c r="E763" s="152">
        <v>40890</v>
      </c>
      <c r="F763" s="149">
        <v>5</v>
      </c>
      <c r="G763" s="149">
        <v>4795</v>
      </c>
    </row>
    <row r="764" spans="1:7" x14ac:dyDescent="0.25">
      <c r="A764" s="148" t="s">
        <v>1518</v>
      </c>
      <c r="B764" s="148" t="s">
        <v>1515</v>
      </c>
      <c r="C764" s="148" t="s">
        <v>1514</v>
      </c>
      <c r="D764" s="148" t="s">
        <v>1530</v>
      </c>
      <c r="E764" s="152">
        <v>40285</v>
      </c>
      <c r="F764" s="149">
        <v>5</v>
      </c>
      <c r="G764" s="149">
        <v>5940</v>
      </c>
    </row>
    <row r="765" spans="1:7" x14ac:dyDescent="0.25">
      <c r="A765" s="148" t="s">
        <v>1527</v>
      </c>
      <c r="B765" s="148" t="s">
        <v>1515</v>
      </c>
      <c r="C765" s="148" t="s">
        <v>1514</v>
      </c>
      <c r="D765" s="148" t="s">
        <v>1530</v>
      </c>
      <c r="E765" s="152">
        <v>40672</v>
      </c>
      <c r="F765" s="149">
        <v>5</v>
      </c>
      <c r="G765" s="149">
        <v>6530</v>
      </c>
    </row>
    <row r="766" spans="1:7" x14ac:dyDescent="0.25">
      <c r="A766" s="148" t="s">
        <v>1526</v>
      </c>
      <c r="B766" s="148" t="s">
        <v>1515</v>
      </c>
      <c r="C766" s="148" t="s">
        <v>1514</v>
      </c>
      <c r="D766" s="148" t="s">
        <v>1530</v>
      </c>
      <c r="E766" s="152">
        <v>40785</v>
      </c>
      <c r="F766" s="149">
        <v>5</v>
      </c>
      <c r="G766" s="149">
        <v>2625</v>
      </c>
    </row>
    <row r="767" spans="1:7" x14ac:dyDescent="0.25">
      <c r="A767" s="148" t="s">
        <v>1525</v>
      </c>
      <c r="B767" s="148" t="s">
        <v>1515</v>
      </c>
      <c r="C767" s="148" t="s">
        <v>1523</v>
      </c>
      <c r="D767" s="148" t="s">
        <v>1533</v>
      </c>
      <c r="E767" s="152">
        <v>40218</v>
      </c>
      <c r="F767" s="149">
        <v>6</v>
      </c>
      <c r="G767" s="153">
        <v>6480</v>
      </c>
    </row>
    <row r="768" spans="1:7" x14ac:dyDescent="0.25">
      <c r="A768" s="148" t="s">
        <v>1525</v>
      </c>
      <c r="B768" s="148" t="s">
        <v>1515</v>
      </c>
      <c r="C768" s="148" t="s">
        <v>1523</v>
      </c>
      <c r="D768" s="148" t="s">
        <v>1533</v>
      </c>
      <c r="E768" s="152">
        <v>40281</v>
      </c>
      <c r="F768" s="149">
        <v>6</v>
      </c>
      <c r="G768" s="149">
        <v>11286</v>
      </c>
    </row>
    <row r="769" spans="1:7" x14ac:dyDescent="0.25">
      <c r="A769" s="148" t="s">
        <v>1526</v>
      </c>
      <c r="B769" s="148" t="s">
        <v>1515</v>
      </c>
      <c r="C769" s="148" t="s">
        <v>1519</v>
      </c>
      <c r="D769" s="148" t="s">
        <v>1533</v>
      </c>
      <c r="E769" s="152">
        <v>40593</v>
      </c>
      <c r="F769" s="149">
        <v>6</v>
      </c>
      <c r="G769" s="149">
        <v>2736</v>
      </c>
    </row>
    <row r="770" spans="1:7" x14ac:dyDescent="0.25">
      <c r="A770" s="148" t="s">
        <v>1532</v>
      </c>
      <c r="B770" s="148" t="s">
        <v>1515</v>
      </c>
      <c r="C770" s="148" t="s">
        <v>1517</v>
      </c>
      <c r="D770" s="148" t="s">
        <v>1533</v>
      </c>
      <c r="E770" s="152">
        <v>40837</v>
      </c>
      <c r="F770" s="149">
        <v>6</v>
      </c>
      <c r="G770" s="149">
        <v>6192</v>
      </c>
    </row>
    <row r="771" spans="1:7" x14ac:dyDescent="0.25">
      <c r="A771" s="148" t="s">
        <v>1524</v>
      </c>
      <c r="B771" s="148" t="s">
        <v>1515</v>
      </c>
      <c r="C771" s="148" t="s">
        <v>1514</v>
      </c>
      <c r="D771" s="148" t="s">
        <v>1533</v>
      </c>
      <c r="E771" s="152">
        <v>40633</v>
      </c>
      <c r="F771" s="149">
        <v>6</v>
      </c>
      <c r="G771" s="149">
        <v>7836</v>
      </c>
    </row>
    <row r="772" spans="1:7" x14ac:dyDescent="0.25">
      <c r="A772" s="148" t="s">
        <v>1516</v>
      </c>
      <c r="B772" s="148" t="s">
        <v>1515</v>
      </c>
      <c r="C772" s="148" t="s">
        <v>1517</v>
      </c>
      <c r="D772" s="148" t="s">
        <v>1513</v>
      </c>
      <c r="E772" s="152">
        <v>40408</v>
      </c>
      <c r="F772" s="149">
        <v>6</v>
      </c>
      <c r="G772" s="149">
        <v>11640</v>
      </c>
    </row>
    <row r="773" spans="1:7" x14ac:dyDescent="0.25">
      <c r="A773" s="148" t="s">
        <v>1516</v>
      </c>
      <c r="B773" s="148" t="s">
        <v>1515</v>
      </c>
      <c r="C773" s="148" t="s">
        <v>1517</v>
      </c>
      <c r="D773" s="148" t="s">
        <v>1513</v>
      </c>
      <c r="E773" s="152">
        <v>40451</v>
      </c>
      <c r="F773" s="149">
        <v>6</v>
      </c>
      <c r="G773" s="149">
        <v>7320</v>
      </c>
    </row>
    <row r="774" spans="1:7" x14ac:dyDescent="0.25">
      <c r="A774" s="148" t="s">
        <v>1525</v>
      </c>
      <c r="B774" s="148" t="s">
        <v>1515</v>
      </c>
      <c r="C774" s="148" t="s">
        <v>1523</v>
      </c>
      <c r="D774" s="148" t="s">
        <v>1531</v>
      </c>
      <c r="E774" s="152">
        <v>40539</v>
      </c>
      <c r="F774" s="149">
        <v>6</v>
      </c>
      <c r="G774" s="149">
        <v>9846</v>
      </c>
    </row>
    <row r="775" spans="1:7" x14ac:dyDescent="0.25">
      <c r="A775" s="148" t="s">
        <v>1518</v>
      </c>
      <c r="B775" s="148" t="s">
        <v>1515</v>
      </c>
      <c r="C775" s="148" t="s">
        <v>1519</v>
      </c>
      <c r="D775" s="148" t="s">
        <v>1531</v>
      </c>
      <c r="E775" s="152">
        <v>40352</v>
      </c>
      <c r="F775" s="149">
        <v>6</v>
      </c>
      <c r="G775" s="149">
        <v>8262</v>
      </c>
    </row>
    <row r="776" spans="1:7" x14ac:dyDescent="0.25">
      <c r="A776" s="148" t="s">
        <v>1520</v>
      </c>
      <c r="B776" s="148" t="s">
        <v>1515</v>
      </c>
      <c r="C776" s="148" t="s">
        <v>1514</v>
      </c>
      <c r="D776" s="148" t="s">
        <v>1531</v>
      </c>
      <c r="E776" s="152">
        <v>40640</v>
      </c>
      <c r="F776" s="149">
        <v>6</v>
      </c>
      <c r="G776" s="149">
        <v>10890</v>
      </c>
    </row>
    <row r="777" spans="1:7" x14ac:dyDescent="0.25">
      <c r="A777" s="148" t="s">
        <v>1524</v>
      </c>
      <c r="B777" s="148" t="s">
        <v>1515</v>
      </c>
      <c r="C777" s="148" t="s">
        <v>1514</v>
      </c>
      <c r="D777" s="148" t="s">
        <v>1531</v>
      </c>
      <c r="E777" s="152">
        <v>40806</v>
      </c>
      <c r="F777" s="149">
        <v>6</v>
      </c>
      <c r="G777" s="149">
        <v>5322</v>
      </c>
    </row>
    <row r="778" spans="1:7" x14ac:dyDescent="0.25">
      <c r="A778" s="148" t="s">
        <v>1529</v>
      </c>
      <c r="B778" s="148" t="s">
        <v>1515</v>
      </c>
      <c r="C778" s="148" t="s">
        <v>1523</v>
      </c>
      <c r="D778" s="148" t="s">
        <v>1530</v>
      </c>
      <c r="E778" s="152">
        <v>40186</v>
      </c>
      <c r="F778" s="149">
        <v>6</v>
      </c>
      <c r="G778" s="153">
        <v>4692</v>
      </c>
    </row>
    <row r="779" spans="1:7" x14ac:dyDescent="0.25">
      <c r="A779" s="148" t="s">
        <v>1527</v>
      </c>
      <c r="B779" s="148" t="s">
        <v>1515</v>
      </c>
      <c r="C779" s="148" t="s">
        <v>1519</v>
      </c>
      <c r="D779" s="148" t="s">
        <v>1530</v>
      </c>
      <c r="E779" s="152">
        <v>40640</v>
      </c>
      <c r="F779" s="149">
        <v>6</v>
      </c>
      <c r="G779" s="149">
        <v>4044</v>
      </c>
    </row>
    <row r="780" spans="1:7" x14ac:dyDescent="0.25">
      <c r="A780" s="148" t="s">
        <v>1526</v>
      </c>
      <c r="B780" s="148" t="s">
        <v>1515</v>
      </c>
      <c r="C780" s="148" t="s">
        <v>1523</v>
      </c>
      <c r="D780" s="148" t="s">
        <v>1528</v>
      </c>
      <c r="E780" s="152">
        <v>40274</v>
      </c>
      <c r="F780" s="149">
        <v>6</v>
      </c>
      <c r="G780" s="149">
        <v>4878</v>
      </c>
    </row>
    <row r="781" spans="1:7" x14ac:dyDescent="0.25">
      <c r="A781" s="148" t="s">
        <v>1522</v>
      </c>
      <c r="B781" s="148" t="s">
        <v>1515</v>
      </c>
      <c r="C781" s="148" t="s">
        <v>1519</v>
      </c>
      <c r="D781" s="148" t="s">
        <v>1528</v>
      </c>
      <c r="E781" s="152">
        <v>40456</v>
      </c>
      <c r="F781" s="149">
        <v>6</v>
      </c>
      <c r="G781" s="149">
        <v>4296</v>
      </c>
    </row>
    <row r="782" spans="1:7" x14ac:dyDescent="0.25">
      <c r="A782" s="148" t="s">
        <v>1525</v>
      </c>
      <c r="B782" s="148" t="s">
        <v>1515</v>
      </c>
      <c r="C782" s="148" t="s">
        <v>1517</v>
      </c>
      <c r="D782" s="148" t="s">
        <v>1528</v>
      </c>
      <c r="E782" s="152">
        <v>40261</v>
      </c>
      <c r="F782" s="149">
        <v>6</v>
      </c>
      <c r="G782" s="149">
        <v>5616</v>
      </c>
    </row>
    <row r="783" spans="1:7" x14ac:dyDescent="0.25">
      <c r="A783" s="148" t="s">
        <v>1521</v>
      </c>
      <c r="B783" s="148" t="s">
        <v>1515</v>
      </c>
      <c r="C783" s="148" t="s">
        <v>1517</v>
      </c>
      <c r="D783" s="148" t="s">
        <v>1528</v>
      </c>
      <c r="E783" s="152">
        <v>40806</v>
      </c>
      <c r="F783" s="149">
        <v>6</v>
      </c>
      <c r="G783" s="149">
        <v>10428</v>
      </c>
    </row>
    <row r="784" spans="1:7" x14ac:dyDescent="0.25">
      <c r="A784" s="148" t="s">
        <v>1527</v>
      </c>
      <c r="B784" s="148" t="s">
        <v>1515</v>
      </c>
      <c r="C784" s="148" t="s">
        <v>1523</v>
      </c>
      <c r="D784" s="148" t="s">
        <v>1533</v>
      </c>
      <c r="E784" s="152">
        <v>40700</v>
      </c>
      <c r="F784" s="149">
        <v>7</v>
      </c>
      <c r="G784" s="149">
        <v>12033</v>
      </c>
    </row>
    <row r="785" spans="1:7" x14ac:dyDescent="0.25">
      <c r="A785" s="148" t="s">
        <v>1520</v>
      </c>
      <c r="B785" s="148" t="s">
        <v>1515</v>
      </c>
      <c r="C785" s="148" t="s">
        <v>1523</v>
      </c>
      <c r="D785" s="148" t="s">
        <v>1533</v>
      </c>
      <c r="E785" s="152">
        <v>40883</v>
      </c>
      <c r="F785" s="149">
        <v>7</v>
      </c>
      <c r="G785" s="149">
        <v>10493</v>
      </c>
    </row>
    <row r="786" spans="1:7" x14ac:dyDescent="0.25">
      <c r="A786" s="148" t="s">
        <v>1524</v>
      </c>
      <c r="B786" s="148" t="s">
        <v>1515</v>
      </c>
      <c r="C786" s="148" t="s">
        <v>1519</v>
      </c>
      <c r="D786" s="148" t="s">
        <v>1533</v>
      </c>
      <c r="E786" s="152">
        <v>40642</v>
      </c>
      <c r="F786" s="149">
        <v>7</v>
      </c>
      <c r="G786" s="149">
        <v>5327</v>
      </c>
    </row>
    <row r="787" spans="1:7" x14ac:dyDescent="0.25">
      <c r="A787" s="148" t="s">
        <v>1518</v>
      </c>
      <c r="B787" s="148" t="s">
        <v>1515</v>
      </c>
      <c r="C787" s="148" t="s">
        <v>1517</v>
      </c>
      <c r="D787" s="148" t="s">
        <v>1533</v>
      </c>
      <c r="E787" s="152">
        <v>40470</v>
      </c>
      <c r="F787" s="149">
        <v>7</v>
      </c>
      <c r="G787" s="149">
        <v>12467</v>
      </c>
    </row>
    <row r="788" spans="1:7" x14ac:dyDescent="0.25">
      <c r="A788" s="148" t="s">
        <v>1516</v>
      </c>
      <c r="B788" s="148" t="s">
        <v>1515</v>
      </c>
      <c r="C788" s="148" t="s">
        <v>1514</v>
      </c>
      <c r="D788" s="148" t="s">
        <v>1533</v>
      </c>
      <c r="E788" s="152">
        <v>40590</v>
      </c>
      <c r="F788" s="149">
        <v>7</v>
      </c>
      <c r="G788" s="149">
        <v>4473</v>
      </c>
    </row>
    <row r="789" spans="1:7" x14ac:dyDescent="0.25">
      <c r="A789" s="148" t="s">
        <v>1522</v>
      </c>
      <c r="B789" s="148" t="s">
        <v>1515</v>
      </c>
      <c r="C789" s="148" t="s">
        <v>1523</v>
      </c>
      <c r="D789" s="148" t="s">
        <v>1513</v>
      </c>
      <c r="E789" s="152">
        <v>40393</v>
      </c>
      <c r="F789" s="149">
        <v>7</v>
      </c>
      <c r="G789" s="149">
        <v>12467</v>
      </c>
    </row>
    <row r="790" spans="1:7" x14ac:dyDescent="0.25">
      <c r="A790" s="148" t="s">
        <v>1526</v>
      </c>
      <c r="B790" s="148" t="s">
        <v>1515</v>
      </c>
      <c r="C790" s="148" t="s">
        <v>1519</v>
      </c>
      <c r="D790" s="148" t="s">
        <v>1513</v>
      </c>
      <c r="E790" s="152">
        <v>40203</v>
      </c>
      <c r="F790" s="149">
        <v>7</v>
      </c>
      <c r="G790" s="149">
        <v>8694</v>
      </c>
    </row>
    <row r="791" spans="1:7" x14ac:dyDescent="0.25">
      <c r="A791" s="148" t="s">
        <v>1526</v>
      </c>
      <c r="B791" s="148" t="s">
        <v>1515</v>
      </c>
      <c r="C791" s="148" t="s">
        <v>1517</v>
      </c>
      <c r="D791" s="148" t="s">
        <v>1513</v>
      </c>
      <c r="E791" s="152">
        <v>40683</v>
      </c>
      <c r="F791" s="149">
        <v>7</v>
      </c>
      <c r="G791" s="149">
        <v>6062</v>
      </c>
    </row>
    <row r="792" spans="1:7" x14ac:dyDescent="0.25">
      <c r="A792" s="148" t="s">
        <v>1522</v>
      </c>
      <c r="B792" s="148" t="s">
        <v>1515</v>
      </c>
      <c r="C792" s="148" t="s">
        <v>1514</v>
      </c>
      <c r="D792" s="148" t="s">
        <v>1513</v>
      </c>
      <c r="E792" s="152">
        <v>40427</v>
      </c>
      <c r="F792" s="149">
        <v>7</v>
      </c>
      <c r="G792" s="149">
        <v>10164</v>
      </c>
    </row>
    <row r="793" spans="1:7" x14ac:dyDescent="0.25">
      <c r="A793" s="148" t="s">
        <v>1522</v>
      </c>
      <c r="B793" s="148" t="s">
        <v>1515</v>
      </c>
      <c r="C793" s="148" t="s">
        <v>1523</v>
      </c>
      <c r="D793" s="148" t="s">
        <v>1530</v>
      </c>
      <c r="E793" s="152">
        <v>40499</v>
      </c>
      <c r="F793" s="149">
        <v>7</v>
      </c>
      <c r="G793" s="149">
        <v>8288</v>
      </c>
    </row>
    <row r="794" spans="1:7" x14ac:dyDescent="0.25">
      <c r="A794" s="148" t="s">
        <v>1527</v>
      </c>
      <c r="B794" s="148" t="s">
        <v>1515</v>
      </c>
      <c r="C794" s="148" t="s">
        <v>1523</v>
      </c>
      <c r="D794" s="148" t="s">
        <v>1528</v>
      </c>
      <c r="E794" s="152">
        <v>40290</v>
      </c>
      <c r="F794" s="149">
        <v>7</v>
      </c>
      <c r="G794" s="149">
        <v>6307</v>
      </c>
    </row>
    <row r="795" spans="1:7" x14ac:dyDescent="0.25">
      <c r="A795" s="148" t="s">
        <v>1518</v>
      </c>
      <c r="B795" s="148" t="s">
        <v>1515</v>
      </c>
      <c r="C795" s="148" t="s">
        <v>1523</v>
      </c>
      <c r="D795" s="148" t="s">
        <v>1528</v>
      </c>
      <c r="E795" s="152">
        <v>40380</v>
      </c>
      <c r="F795" s="149">
        <v>7</v>
      </c>
      <c r="G795" s="149">
        <v>13265</v>
      </c>
    </row>
    <row r="796" spans="1:7" x14ac:dyDescent="0.25">
      <c r="A796" s="148" t="s">
        <v>1525</v>
      </c>
      <c r="B796" s="148" t="s">
        <v>1515</v>
      </c>
      <c r="C796" s="148" t="s">
        <v>1517</v>
      </c>
      <c r="D796" s="148" t="s">
        <v>1533</v>
      </c>
      <c r="E796" s="152">
        <v>40432</v>
      </c>
      <c r="F796" s="149">
        <v>8</v>
      </c>
      <c r="G796" s="149">
        <v>9648</v>
      </c>
    </row>
    <row r="797" spans="1:7" x14ac:dyDescent="0.25">
      <c r="A797" s="148" t="s">
        <v>1521</v>
      </c>
      <c r="B797" s="148" t="s">
        <v>1515</v>
      </c>
      <c r="C797" s="148" t="s">
        <v>1517</v>
      </c>
      <c r="D797" s="148" t="s">
        <v>1533</v>
      </c>
      <c r="E797" s="152">
        <v>40806</v>
      </c>
      <c r="F797" s="149">
        <v>8</v>
      </c>
      <c r="G797" s="149">
        <v>3800</v>
      </c>
    </row>
    <row r="798" spans="1:7" x14ac:dyDescent="0.25">
      <c r="A798" s="148" t="s">
        <v>1522</v>
      </c>
      <c r="B798" s="148" t="s">
        <v>1515</v>
      </c>
      <c r="C798" s="148" t="s">
        <v>1519</v>
      </c>
      <c r="D798" s="148" t="s">
        <v>1513</v>
      </c>
      <c r="E798" s="152">
        <v>40204</v>
      </c>
      <c r="F798" s="149">
        <v>8</v>
      </c>
      <c r="G798" s="149">
        <v>8128</v>
      </c>
    </row>
    <row r="799" spans="1:7" x14ac:dyDescent="0.25">
      <c r="A799" s="148" t="s">
        <v>1527</v>
      </c>
      <c r="B799" s="148" t="s">
        <v>1515</v>
      </c>
      <c r="C799" s="148" t="s">
        <v>1519</v>
      </c>
      <c r="D799" s="148" t="s">
        <v>1513</v>
      </c>
      <c r="E799" s="152">
        <v>40504</v>
      </c>
      <c r="F799" s="149">
        <v>8</v>
      </c>
      <c r="G799" s="149">
        <v>9192</v>
      </c>
    </row>
    <row r="800" spans="1:7" x14ac:dyDescent="0.25">
      <c r="A800" s="148" t="s">
        <v>1518</v>
      </c>
      <c r="B800" s="148" t="s">
        <v>1515</v>
      </c>
      <c r="C800" s="148" t="s">
        <v>1523</v>
      </c>
      <c r="D800" s="148" t="s">
        <v>1531</v>
      </c>
      <c r="E800" s="152">
        <v>40537</v>
      </c>
      <c r="F800" s="149">
        <v>8</v>
      </c>
      <c r="G800" s="149">
        <v>9776</v>
      </c>
    </row>
    <row r="801" spans="1:7" x14ac:dyDescent="0.25">
      <c r="A801" s="148" t="s">
        <v>1521</v>
      </c>
      <c r="B801" s="148" t="s">
        <v>1515</v>
      </c>
      <c r="C801" s="148" t="s">
        <v>1519</v>
      </c>
      <c r="D801" s="148" t="s">
        <v>1531</v>
      </c>
      <c r="E801" s="152">
        <v>40670</v>
      </c>
      <c r="F801" s="149">
        <v>8</v>
      </c>
      <c r="G801" s="149">
        <v>8024</v>
      </c>
    </row>
    <row r="802" spans="1:7" x14ac:dyDescent="0.25">
      <c r="A802" s="148" t="s">
        <v>1532</v>
      </c>
      <c r="B802" s="148" t="s">
        <v>1515</v>
      </c>
      <c r="C802" s="148" t="s">
        <v>1517</v>
      </c>
      <c r="D802" s="148" t="s">
        <v>1531</v>
      </c>
      <c r="E802" s="152">
        <v>40413</v>
      </c>
      <c r="F802" s="149">
        <v>8</v>
      </c>
      <c r="G802" s="149">
        <v>9960</v>
      </c>
    </row>
    <row r="803" spans="1:7" x14ac:dyDescent="0.25">
      <c r="A803" s="148" t="s">
        <v>1527</v>
      </c>
      <c r="B803" s="148" t="s">
        <v>1515</v>
      </c>
      <c r="C803" s="148" t="s">
        <v>1517</v>
      </c>
      <c r="D803" s="148" t="s">
        <v>1531</v>
      </c>
      <c r="E803" s="152">
        <v>40569</v>
      </c>
      <c r="F803" s="149">
        <v>8</v>
      </c>
      <c r="G803" s="149">
        <v>15216</v>
      </c>
    </row>
    <row r="804" spans="1:7" x14ac:dyDescent="0.25">
      <c r="A804" s="148" t="s">
        <v>1529</v>
      </c>
      <c r="B804" s="148" t="s">
        <v>1515</v>
      </c>
      <c r="C804" s="148" t="s">
        <v>1514</v>
      </c>
      <c r="D804" s="148" t="s">
        <v>1531</v>
      </c>
      <c r="E804" s="152">
        <v>40768</v>
      </c>
      <c r="F804" s="149">
        <v>8</v>
      </c>
      <c r="G804" s="149">
        <v>6264</v>
      </c>
    </row>
    <row r="805" spans="1:7" x14ac:dyDescent="0.25">
      <c r="A805" s="148" t="s">
        <v>1526</v>
      </c>
      <c r="B805" s="148" t="s">
        <v>1515</v>
      </c>
      <c r="C805" s="148" t="s">
        <v>1523</v>
      </c>
      <c r="D805" s="148" t="s">
        <v>1530</v>
      </c>
      <c r="E805" s="152">
        <v>40849</v>
      </c>
      <c r="F805" s="149">
        <v>8</v>
      </c>
      <c r="G805" s="149">
        <v>7200</v>
      </c>
    </row>
    <row r="806" spans="1:7" x14ac:dyDescent="0.25">
      <c r="A806" s="148" t="s">
        <v>1516</v>
      </c>
      <c r="B806" s="148" t="s">
        <v>1515</v>
      </c>
      <c r="C806" s="148" t="s">
        <v>1519</v>
      </c>
      <c r="D806" s="148" t="s">
        <v>1530</v>
      </c>
      <c r="E806" s="152">
        <v>40199</v>
      </c>
      <c r="F806" s="149">
        <v>8</v>
      </c>
      <c r="G806" s="153">
        <v>8192</v>
      </c>
    </row>
    <row r="807" spans="1:7" x14ac:dyDescent="0.25">
      <c r="A807" s="148" t="s">
        <v>1532</v>
      </c>
      <c r="B807" s="148" t="s">
        <v>1515</v>
      </c>
      <c r="C807" s="148" t="s">
        <v>1514</v>
      </c>
      <c r="D807" s="148" t="s">
        <v>1530</v>
      </c>
      <c r="E807" s="152">
        <v>40473</v>
      </c>
      <c r="F807" s="149">
        <v>8</v>
      </c>
      <c r="G807" s="149">
        <v>11520</v>
      </c>
    </row>
    <row r="808" spans="1:7" x14ac:dyDescent="0.25">
      <c r="A808" s="148" t="s">
        <v>1516</v>
      </c>
      <c r="B808" s="148" t="s">
        <v>1515</v>
      </c>
      <c r="C808" s="148" t="s">
        <v>1514</v>
      </c>
      <c r="D808" s="148" t="s">
        <v>1530</v>
      </c>
      <c r="E808" s="152">
        <v>40868</v>
      </c>
      <c r="F808" s="149">
        <v>8</v>
      </c>
      <c r="G808" s="149">
        <v>12936</v>
      </c>
    </row>
    <row r="809" spans="1:7" x14ac:dyDescent="0.25">
      <c r="A809" s="148" t="s">
        <v>1527</v>
      </c>
      <c r="B809" s="148" t="s">
        <v>1515</v>
      </c>
      <c r="C809" s="148" t="s">
        <v>1517</v>
      </c>
      <c r="D809" s="148" t="s">
        <v>1528</v>
      </c>
      <c r="E809" s="152">
        <v>40501</v>
      </c>
      <c r="F809" s="149">
        <v>8</v>
      </c>
      <c r="G809" s="149">
        <v>10176</v>
      </c>
    </row>
    <row r="810" spans="1:7" x14ac:dyDescent="0.25">
      <c r="A810" s="148" t="s">
        <v>1524</v>
      </c>
      <c r="B810" s="148" t="s">
        <v>1515</v>
      </c>
      <c r="C810" s="148" t="s">
        <v>1517</v>
      </c>
      <c r="D810" s="148" t="s">
        <v>1528</v>
      </c>
      <c r="E810" s="152">
        <v>40617</v>
      </c>
      <c r="F810" s="149">
        <v>8</v>
      </c>
      <c r="G810" s="149">
        <v>14984</v>
      </c>
    </row>
    <row r="811" spans="1:7" x14ac:dyDescent="0.25">
      <c r="A811" s="148" t="s">
        <v>1529</v>
      </c>
      <c r="B811" s="148" t="s">
        <v>1515</v>
      </c>
      <c r="C811" s="148" t="s">
        <v>1517</v>
      </c>
      <c r="D811" s="148" t="s">
        <v>1528</v>
      </c>
      <c r="E811" s="152">
        <v>40792</v>
      </c>
      <c r="F811" s="149">
        <v>8</v>
      </c>
      <c r="G811" s="149">
        <v>13952</v>
      </c>
    </row>
    <row r="812" spans="1:7" x14ac:dyDescent="0.25">
      <c r="A812" s="148" t="s">
        <v>1518</v>
      </c>
      <c r="B812" s="148" t="s">
        <v>1515</v>
      </c>
      <c r="C812" s="148" t="s">
        <v>1517</v>
      </c>
      <c r="D812" s="148" t="s">
        <v>1533</v>
      </c>
      <c r="E812" s="152">
        <v>40768</v>
      </c>
      <c r="F812" s="149">
        <v>9</v>
      </c>
      <c r="G812" s="149">
        <v>12627</v>
      </c>
    </row>
    <row r="813" spans="1:7" x14ac:dyDescent="0.25">
      <c r="A813" s="148" t="s">
        <v>1534</v>
      </c>
      <c r="B813" s="148" t="s">
        <v>1515</v>
      </c>
      <c r="C813" s="148" t="s">
        <v>1517</v>
      </c>
      <c r="D813" s="148" t="s">
        <v>1533</v>
      </c>
      <c r="E813" s="152">
        <v>40876</v>
      </c>
      <c r="F813" s="149">
        <v>9</v>
      </c>
      <c r="G813" s="149">
        <v>10260</v>
      </c>
    </row>
    <row r="814" spans="1:7" x14ac:dyDescent="0.25">
      <c r="A814" s="148" t="s">
        <v>1526</v>
      </c>
      <c r="B814" s="148" t="s">
        <v>1515</v>
      </c>
      <c r="C814" s="148" t="s">
        <v>1519</v>
      </c>
      <c r="D814" s="148" t="s">
        <v>1513</v>
      </c>
      <c r="E814" s="152">
        <v>40722</v>
      </c>
      <c r="F814" s="149">
        <v>9</v>
      </c>
      <c r="G814" s="149">
        <v>4869</v>
      </c>
    </row>
    <row r="815" spans="1:7" x14ac:dyDescent="0.25">
      <c r="A815" s="148" t="s">
        <v>1532</v>
      </c>
      <c r="B815" s="148" t="s">
        <v>1515</v>
      </c>
      <c r="C815" s="148" t="s">
        <v>1523</v>
      </c>
      <c r="D815" s="148" t="s">
        <v>1531</v>
      </c>
      <c r="E815" s="152">
        <v>40435</v>
      </c>
      <c r="F815" s="149">
        <v>9</v>
      </c>
      <c r="G815" s="149">
        <v>6300</v>
      </c>
    </row>
    <row r="816" spans="1:7" x14ac:dyDescent="0.25">
      <c r="A816" s="148" t="s">
        <v>1527</v>
      </c>
      <c r="B816" s="148" t="s">
        <v>1515</v>
      </c>
      <c r="C816" s="148" t="s">
        <v>1523</v>
      </c>
      <c r="D816" s="148" t="s">
        <v>1531</v>
      </c>
      <c r="E816" s="152">
        <v>40507</v>
      </c>
      <c r="F816" s="149">
        <v>9</v>
      </c>
      <c r="G816" s="149">
        <v>17010</v>
      </c>
    </row>
    <row r="817" spans="1:7" x14ac:dyDescent="0.25">
      <c r="A817" s="148" t="s">
        <v>1524</v>
      </c>
      <c r="B817" s="148" t="s">
        <v>1515</v>
      </c>
      <c r="C817" s="148" t="s">
        <v>1523</v>
      </c>
      <c r="D817" s="148" t="s">
        <v>1530</v>
      </c>
      <c r="E817" s="152">
        <v>40815</v>
      </c>
      <c r="F817" s="149">
        <v>9</v>
      </c>
      <c r="G817" s="149">
        <v>12690</v>
      </c>
    </row>
    <row r="818" spans="1:7" x14ac:dyDescent="0.25">
      <c r="A818" s="148" t="s">
        <v>1529</v>
      </c>
      <c r="B818" s="148" t="s">
        <v>1515</v>
      </c>
      <c r="C818" s="148" t="s">
        <v>1514</v>
      </c>
      <c r="D818" s="148" t="s">
        <v>1530</v>
      </c>
      <c r="E818" s="152">
        <v>40537</v>
      </c>
      <c r="F818" s="149">
        <v>9</v>
      </c>
      <c r="G818" s="149">
        <v>17784</v>
      </c>
    </row>
    <row r="819" spans="1:7" x14ac:dyDescent="0.25">
      <c r="A819" s="148" t="s">
        <v>1516</v>
      </c>
      <c r="B819" s="148" t="s">
        <v>1515</v>
      </c>
      <c r="C819" s="148" t="s">
        <v>1514</v>
      </c>
      <c r="D819" s="148" t="s">
        <v>1528</v>
      </c>
      <c r="E819" s="152">
        <v>40690</v>
      </c>
      <c r="F819" s="149">
        <v>9</v>
      </c>
      <c r="G819" s="149">
        <v>4293</v>
      </c>
    </row>
    <row r="820" spans="1:7" x14ac:dyDescent="0.25">
      <c r="A820" s="148" t="s">
        <v>1521</v>
      </c>
      <c r="B820" s="148" t="s">
        <v>1515</v>
      </c>
      <c r="C820" s="148" t="s">
        <v>1514</v>
      </c>
      <c r="D820" s="148" t="s">
        <v>1528</v>
      </c>
      <c r="E820" s="152">
        <v>40703</v>
      </c>
      <c r="F820" s="149">
        <v>9</v>
      </c>
      <c r="G820" s="149">
        <v>15624</v>
      </c>
    </row>
    <row r="821" spans="1:7" x14ac:dyDescent="0.25">
      <c r="A821" s="148" t="s">
        <v>1529</v>
      </c>
      <c r="B821" s="148" t="s">
        <v>1515</v>
      </c>
      <c r="C821" s="148" t="s">
        <v>1517</v>
      </c>
      <c r="D821" s="148" t="s">
        <v>1533</v>
      </c>
      <c r="E821" s="152">
        <v>40858</v>
      </c>
      <c r="F821" s="149">
        <v>10</v>
      </c>
      <c r="G821" s="149">
        <v>14160</v>
      </c>
    </row>
    <row r="822" spans="1:7" x14ac:dyDescent="0.25">
      <c r="A822" s="148" t="s">
        <v>1521</v>
      </c>
      <c r="B822" s="148" t="s">
        <v>1515</v>
      </c>
      <c r="C822" s="148" t="s">
        <v>1519</v>
      </c>
      <c r="D822" s="148" t="s">
        <v>1531</v>
      </c>
      <c r="E822" s="152">
        <v>40406</v>
      </c>
      <c r="F822" s="149">
        <v>10</v>
      </c>
      <c r="G822" s="149">
        <v>12740</v>
      </c>
    </row>
    <row r="823" spans="1:7" x14ac:dyDescent="0.25">
      <c r="A823" s="148" t="s">
        <v>1521</v>
      </c>
      <c r="B823" s="148" t="s">
        <v>1515</v>
      </c>
      <c r="C823" s="148" t="s">
        <v>1517</v>
      </c>
      <c r="D823" s="148" t="s">
        <v>1531</v>
      </c>
      <c r="E823" s="152">
        <v>40638</v>
      </c>
      <c r="F823" s="149">
        <v>10</v>
      </c>
      <c r="G823" s="149">
        <v>13730</v>
      </c>
    </row>
    <row r="824" spans="1:7" x14ac:dyDescent="0.25">
      <c r="A824" s="148" t="s">
        <v>1529</v>
      </c>
      <c r="B824" s="148" t="s">
        <v>1515</v>
      </c>
      <c r="C824" s="148" t="s">
        <v>1514</v>
      </c>
      <c r="D824" s="148" t="s">
        <v>1531</v>
      </c>
      <c r="E824" s="152">
        <v>40558</v>
      </c>
      <c r="F824" s="149">
        <v>10</v>
      </c>
      <c r="G824" s="149">
        <v>5020</v>
      </c>
    </row>
    <row r="825" spans="1:7" x14ac:dyDescent="0.25">
      <c r="A825" s="148" t="s">
        <v>1521</v>
      </c>
      <c r="B825" s="148" t="s">
        <v>1515</v>
      </c>
      <c r="C825" s="148" t="s">
        <v>1519</v>
      </c>
      <c r="D825" s="148" t="s">
        <v>1530</v>
      </c>
      <c r="E825" s="152">
        <v>40757</v>
      </c>
      <c r="F825" s="149">
        <v>10</v>
      </c>
      <c r="G825" s="149">
        <v>9850</v>
      </c>
    </row>
    <row r="826" spans="1:7" x14ac:dyDescent="0.25">
      <c r="A826" s="148" t="s">
        <v>1526</v>
      </c>
      <c r="B826" s="148" t="s">
        <v>1515</v>
      </c>
      <c r="C826" s="148" t="s">
        <v>1514</v>
      </c>
      <c r="D826" s="148" t="s">
        <v>1530</v>
      </c>
      <c r="E826" s="152">
        <v>40786</v>
      </c>
      <c r="F826" s="149">
        <v>10</v>
      </c>
      <c r="G826" s="149">
        <v>5980</v>
      </c>
    </row>
    <row r="827" spans="1:7" x14ac:dyDescent="0.25">
      <c r="A827" s="148" t="s">
        <v>1527</v>
      </c>
      <c r="B827" s="148" t="s">
        <v>1515</v>
      </c>
      <c r="C827" s="148" t="s">
        <v>1519</v>
      </c>
      <c r="D827" s="148" t="s">
        <v>1528</v>
      </c>
      <c r="E827" s="152">
        <v>40869</v>
      </c>
      <c r="F827" s="149">
        <v>10</v>
      </c>
      <c r="G827" s="149">
        <v>7400</v>
      </c>
    </row>
    <row r="828" spans="1:7" x14ac:dyDescent="0.25">
      <c r="A828" s="148" t="s">
        <v>1527</v>
      </c>
      <c r="B828" s="148" t="s">
        <v>1515</v>
      </c>
      <c r="C828" s="148" t="s">
        <v>1517</v>
      </c>
      <c r="D828" s="148" t="s">
        <v>1528</v>
      </c>
      <c r="E828" s="152">
        <v>40430</v>
      </c>
      <c r="F828" s="149">
        <v>10</v>
      </c>
      <c r="G828" s="149">
        <v>6650</v>
      </c>
    </row>
    <row r="829" spans="1:7" x14ac:dyDescent="0.25">
      <c r="A829" s="148" t="s">
        <v>1527</v>
      </c>
      <c r="B829" s="148" t="s">
        <v>1515</v>
      </c>
      <c r="C829" s="148" t="s">
        <v>1517</v>
      </c>
      <c r="D829" s="148" t="s">
        <v>1528</v>
      </c>
      <c r="E829" s="152">
        <v>40807</v>
      </c>
      <c r="F829" s="149">
        <v>10</v>
      </c>
      <c r="G829" s="149">
        <v>6410</v>
      </c>
    </row>
    <row r="830" spans="1:7" x14ac:dyDescent="0.25">
      <c r="A830" s="148" t="s">
        <v>1521</v>
      </c>
      <c r="B830" s="148" t="s">
        <v>1515</v>
      </c>
      <c r="C830" s="148" t="s">
        <v>1523</v>
      </c>
      <c r="D830" s="148" t="s">
        <v>1533</v>
      </c>
      <c r="E830" s="152">
        <v>40549</v>
      </c>
      <c r="F830" s="149">
        <v>11</v>
      </c>
      <c r="G830" s="149">
        <v>16522</v>
      </c>
    </row>
    <row r="831" spans="1:7" x14ac:dyDescent="0.25">
      <c r="A831" s="148" t="s">
        <v>1525</v>
      </c>
      <c r="B831" s="148" t="s">
        <v>1515</v>
      </c>
      <c r="C831" s="148" t="s">
        <v>1519</v>
      </c>
      <c r="D831" s="148" t="s">
        <v>1513</v>
      </c>
      <c r="E831" s="152">
        <v>40421</v>
      </c>
      <c r="F831" s="149">
        <v>11</v>
      </c>
      <c r="G831" s="149">
        <v>17589</v>
      </c>
    </row>
    <row r="832" spans="1:7" x14ac:dyDescent="0.25">
      <c r="A832" s="148" t="s">
        <v>1522</v>
      </c>
      <c r="B832" s="148" t="s">
        <v>1515</v>
      </c>
      <c r="C832" s="148" t="s">
        <v>1517</v>
      </c>
      <c r="D832" s="148" t="s">
        <v>1513</v>
      </c>
      <c r="E832" s="152">
        <v>40388</v>
      </c>
      <c r="F832" s="149">
        <v>11</v>
      </c>
      <c r="G832" s="149">
        <v>12144</v>
      </c>
    </row>
    <row r="833" spans="1:7" x14ac:dyDescent="0.25">
      <c r="A833" s="148" t="s">
        <v>1516</v>
      </c>
      <c r="B833" s="148" t="s">
        <v>1515</v>
      </c>
      <c r="C833" s="148" t="s">
        <v>1514</v>
      </c>
      <c r="D833" s="148" t="s">
        <v>1513</v>
      </c>
      <c r="E833" s="152">
        <v>40890</v>
      </c>
      <c r="F833" s="149">
        <v>11</v>
      </c>
      <c r="G833" s="149">
        <v>21373</v>
      </c>
    </row>
    <row r="834" spans="1:7" x14ac:dyDescent="0.25">
      <c r="A834" s="148" t="s">
        <v>1522</v>
      </c>
      <c r="B834" s="148" t="s">
        <v>1515</v>
      </c>
      <c r="C834" s="148" t="s">
        <v>1523</v>
      </c>
      <c r="D834" s="148" t="s">
        <v>1531</v>
      </c>
      <c r="E834" s="152">
        <v>40529</v>
      </c>
      <c r="F834" s="149">
        <v>11</v>
      </c>
      <c r="G834" s="149">
        <v>20724</v>
      </c>
    </row>
    <row r="835" spans="1:7" x14ac:dyDescent="0.25">
      <c r="A835" s="148" t="s">
        <v>1518</v>
      </c>
      <c r="B835" s="148" t="s">
        <v>1515</v>
      </c>
      <c r="C835" s="148" t="s">
        <v>1519</v>
      </c>
      <c r="D835" s="148" t="s">
        <v>1531</v>
      </c>
      <c r="E835" s="152">
        <v>40613</v>
      </c>
      <c r="F835" s="149">
        <v>11</v>
      </c>
      <c r="G835" s="149">
        <v>5192</v>
      </c>
    </row>
    <row r="836" spans="1:7" x14ac:dyDescent="0.25">
      <c r="A836" s="148" t="s">
        <v>1516</v>
      </c>
      <c r="B836" s="148" t="s">
        <v>1515</v>
      </c>
      <c r="C836" s="148" t="s">
        <v>1517</v>
      </c>
      <c r="D836" s="148" t="s">
        <v>1531</v>
      </c>
      <c r="E836" s="152">
        <v>40295</v>
      </c>
      <c r="F836" s="149">
        <v>11</v>
      </c>
      <c r="G836" s="149">
        <v>17237</v>
      </c>
    </row>
    <row r="837" spans="1:7" x14ac:dyDescent="0.25">
      <c r="A837" s="148" t="s">
        <v>1534</v>
      </c>
      <c r="B837" s="148" t="s">
        <v>1515</v>
      </c>
      <c r="C837" s="148" t="s">
        <v>1517</v>
      </c>
      <c r="D837" s="148" t="s">
        <v>1531</v>
      </c>
      <c r="E837" s="152">
        <v>40885</v>
      </c>
      <c r="F837" s="149">
        <v>11</v>
      </c>
      <c r="G837" s="149">
        <v>13453</v>
      </c>
    </row>
    <row r="838" spans="1:7" x14ac:dyDescent="0.25">
      <c r="A838" s="148" t="s">
        <v>1526</v>
      </c>
      <c r="B838" s="148" t="s">
        <v>1515</v>
      </c>
      <c r="C838" s="148" t="s">
        <v>1514</v>
      </c>
      <c r="D838" s="148" t="s">
        <v>1531</v>
      </c>
      <c r="E838" s="152">
        <v>40564</v>
      </c>
      <c r="F838" s="149">
        <v>11</v>
      </c>
      <c r="G838" s="149">
        <v>17270</v>
      </c>
    </row>
    <row r="839" spans="1:7" x14ac:dyDescent="0.25">
      <c r="A839" s="148" t="s">
        <v>1521</v>
      </c>
      <c r="B839" s="148" t="s">
        <v>1515</v>
      </c>
      <c r="C839" s="148" t="s">
        <v>1523</v>
      </c>
      <c r="D839" s="148" t="s">
        <v>1530</v>
      </c>
      <c r="E839" s="152">
        <v>40274</v>
      </c>
      <c r="F839" s="149">
        <v>11</v>
      </c>
      <c r="G839" s="149">
        <v>17193</v>
      </c>
    </row>
    <row r="840" spans="1:7" x14ac:dyDescent="0.25">
      <c r="A840" s="148" t="s">
        <v>1518</v>
      </c>
      <c r="B840" s="148" t="s">
        <v>1515</v>
      </c>
      <c r="C840" s="148" t="s">
        <v>1523</v>
      </c>
      <c r="D840" s="148" t="s">
        <v>1530</v>
      </c>
      <c r="E840" s="152">
        <v>40600</v>
      </c>
      <c r="F840" s="149">
        <v>11</v>
      </c>
      <c r="G840" s="149">
        <v>11484</v>
      </c>
    </row>
    <row r="841" spans="1:7" x14ac:dyDescent="0.25">
      <c r="A841" s="148" t="s">
        <v>1527</v>
      </c>
      <c r="B841" s="148" t="s">
        <v>1515</v>
      </c>
      <c r="C841" s="148" t="s">
        <v>1514</v>
      </c>
      <c r="D841" s="148" t="s">
        <v>1530</v>
      </c>
      <c r="E841" s="152">
        <v>40600</v>
      </c>
      <c r="F841" s="149">
        <v>11</v>
      </c>
      <c r="G841" s="149">
        <v>9515</v>
      </c>
    </row>
    <row r="842" spans="1:7" x14ac:dyDescent="0.25">
      <c r="A842" s="148" t="s">
        <v>1524</v>
      </c>
      <c r="B842" s="148" t="s">
        <v>1515</v>
      </c>
      <c r="C842" s="148" t="s">
        <v>1514</v>
      </c>
      <c r="D842" s="148" t="s">
        <v>1530</v>
      </c>
      <c r="E842" s="152">
        <v>40704</v>
      </c>
      <c r="F842" s="149">
        <v>11</v>
      </c>
      <c r="G842" s="149">
        <v>21604</v>
      </c>
    </row>
    <row r="843" spans="1:7" x14ac:dyDescent="0.25">
      <c r="A843" s="148" t="s">
        <v>1520</v>
      </c>
      <c r="B843" s="148" t="s">
        <v>1515</v>
      </c>
      <c r="C843" s="148" t="s">
        <v>1523</v>
      </c>
      <c r="D843" s="148" t="s">
        <v>1528</v>
      </c>
      <c r="E843" s="152">
        <v>40550</v>
      </c>
      <c r="F843" s="149">
        <v>11</v>
      </c>
      <c r="G843" s="149">
        <v>6017</v>
      </c>
    </row>
    <row r="844" spans="1:7" x14ac:dyDescent="0.25">
      <c r="A844" s="148" t="s">
        <v>1525</v>
      </c>
      <c r="B844" s="148" t="s">
        <v>1515</v>
      </c>
      <c r="C844" s="148" t="s">
        <v>1517</v>
      </c>
      <c r="D844" s="148" t="s">
        <v>1528</v>
      </c>
      <c r="E844" s="152">
        <v>40848</v>
      </c>
      <c r="F844" s="149">
        <v>11</v>
      </c>
      <c r="G844" s="149">
        <v>14421</v>
      </c>
    </row>
    <row r="845" spans="1:7" x14ac:dyDescent="0.25">
      <c r="A845" s="148" t="s">
        <v>1532</v>
      </c>
      <c r="B845" s="148" t="s">
        <v>1515</v>
      </c>
      <c r="C845" s="148" t="s">
        <v>1523</v>
      </c>
      <c r="D845" s="148" t="s">
        <v>1533</v>
      </c>
      <c r="E845" s="152">
        <v>40539</v>
      </c>
      <c r="F845" s="149">
        <v>12</v>
      </c>
      <c r="G845" s="149">
        <v>22080</v>
      </c>
    </row>
    <row r="846" spans="1:7" x14ac:dyDescent="0.25">
      <c r="A846" s="148" t="s">
        <v>1534</v>
      </c>
      <c r="B846" s="148" t="s">
        <v>1515</v>
      </c>
      <c r="C846" s="148" t="s">
        <v>1514</v>
      </c>
      <c r="D846" s="148" t="s">
        <v>1533</v>
      </c>
      <c r="E846" s="152">
        <v>40880</v>
      </c>
      <c r="F846" s="149">
        <v>12</v>
      </c>
      <c r="G846" s="149">
        <v>13836</v>
      </c>
    </row>
    <row r="847" spans="1:7" x14ac:dyDescent="0.25">
      <c r="A847" s="148" t="s">
        <v>1521</v>
      </c>
      <c r="B847" s="148" t="s">
        <v>1515</v>
      </c>
      <c r="C847" s="148" t="s">
        <v>1523</v>
      </c>
      <c r="D847" s="148" t="s">
        <v>1513</v>
      </c>
      <c r="E847" s="152">
        <v>40387</v>
      </c>
      <c r="F847" s="149">
        <v>12</v>
      </c>
      <c r="G847" s="149">
        <v>18876</v>
      </c>
    </row>
    <row r="848" spans="1:7" x14ac:dyDescent="0.25">
      <c r="A848" s="148" t="s">
        <v>1520</v>
      </c>
      <c r="B848" s="148" t="s">
        <v>1515</v>
      </c>
      <c r="C848" s="148" t="s">
        <v>1519</v>
      </c>
      <c r="D848" s="148" t="s">
        <v>1513</v>
      </c>
      <c r="E848" s="152">
        <v>40820</v>
      </c>
      <c r="F848" s="149">
        <v>12</v>
      </c>
      <c r="G848" s="149">
        <v>21060</v>
      </c>
    </row>
    <row r="849" spans="1:7" x14ac:dyDescent="0.25">
      <c r="A849" s="148" t="s">
        <v>1529</v>
      </c>
      <c r="B849" s="148" t="s">
        <v>1515</v>
      </c>
      <c r="C849" s="148" t="s">
        <v>1517</v>
      </c>
      <c r="D849" s="148" t="s">
        <v>1513</v>
      </c>
      <c r="E849" s="152">
        <v>40542</v>
      </c>
      <c r="F849" s="149">
        <v>12</v>
      </c>
      <c r="G849" s="149">
        <v>11508</v>
      </c>
    </row>
    <row r="850" spans="1:7" x14ac:dyDescent="0.25">
      <c r="A850" s="148" t="s">
        <v>1527</v>
      </c>
      <c r="B850" s="148" t="s">
        <v>1515</v>
      </c>
      <c r="C850" s="148" t="s">
        <v>1519</v>
      </c>
      <c r="D850" s="148" t="s">
        <v>1531</v>
      </c>
      <c r="E850" s="152">
        <v>40645</v>
      </c>
      <c r="F850" s="149">
        <v>12</v>
      </c>
      <c r="G850" s="149">
        <v>19584</v>
      </c>
    </row>
    <row r="851" spans="1:7" x14ac:dyDescent="0.25">
      <c r="A851" s="148" t="s">
        <v>1532</v>
      </c>
      <c r="B851" s="148" t="s">
        <v>1515</v>
      </c>
      <c r="C851" s="148" t="s">
        <v>1514</v>
      </c>
      <c r="D851" s="148" t="s">
        <v>1531</v>
      </c>
      <c r="E851" s="152">
        <v>40898</v>
      </c>
      <c r="F851" s="149">
        <v>12</v>
      </c>
      <c r="G851" s="149">
        <v>9084</v>
      </c>
    </row>
    <row r="852" spans="1:7" x14ac:dyDescent="0.25">
      <c r="A852" s="148" t="s">
        <v>1527</v>
      </c>
      <c r="B852" s="148" t="s">
        <v>1515</v>
      </c>
      <c r="C852" s="148" t="s">
        <v>1519</v>
      </c>
      <c r="D852" s="148" t="s">
        <v>1530</v>
      </c>
      <c r="E852" s="152">
        <v>40508</v>
      </c>
      <c r="F852" s="149">
        <v>12</v>
      </c>
      <c r="G852" s="149">
        <v>6780</v>
      </c>
    </row>
    <row r="853" spans="1:7" x14ac:dyDescent="0.25">
      <c r="A853" s="148" t="s">
        <v>1534</v>
      </c>
      <c r="B853" s="148" t="s">
        <v>1515</v>
      </c>
      <c r="C853" s="148" t="s">
        <v>1517</v>
      </c>
      <c r="D853" s="148" t="s">
        <v>1530</v>
      </c>
      <c r="E853" s="152">
        <v>40610</v>
      </c>
      <c r="F853" s="149">
        <v>12</v>
      </c>
      <c r="G853" s="149">
        <v>15996</v>
      </c>
    </row>
    <row r="854" spans="1:7" x14ac:dyDescent="0.25">
      <c r="A854" s="148" t="s">
        <v>1529</v>
      </c>
      <c r="B854" s="148" t="s">
        <v>1515</v>
      </c>
      <c r="C854" s="148" t="s">
        <v>1514</v>
      </c>
      <c r="D854" s="148" t="s">
        <v>1530</v>
      </c>
      <c r="E854" s="152">
        <v>40896</v>
      </c>
      <c r="F854" s="149">
        <v>12</v>
      </c>
      <c r="G854" s="149">
        <v>16584</v>
      </c>
    </row>
    <row r="855" spans="1:7" x14ac:dyDescent="0.25">
      <c r="A855" s="148" t="s">
        <v>1521</v>
      </c>
      <c r="B855" s="148" t="s">
        <v>1515</v>
      </c>
      <c r="C855" s="148" t="s">
        <v>1519</v>
      </c>
      <c r="D855" s="148" t="s">
        <v>1528</v>
      </c>
      <c r="E855" s="152">
        <v>40602</v>
      </c>
      <c r="F855" s="149">
        <v>12</v>
      </c>
      <c r="G855" s="149">
        <v>18720</v>
      </c>
    </row>
    <row r="856" spans="1:7" x14ac:dyDescent="0.25">
      <c r="A856" s="148" t="s">
        <v>1526</v>
      </c>
      <c r="B856" s="148" t="s">
        <v>1515</v>
      </c>
      <c r="C856" s="148" t="s">
        <v>1519</v>
      </c>
      <c r="D856" s="148" t="s">
        <v>1533</v>
      </c>
      <c r="E856" s="152">
        <v>40812</v>
      </c>
      <c r="F856" s="149">
        <v>13</v>
      </c>
      <c r="G856" s="149">
        <v>10192</v>
      </c>
    </row>
    <row r="857" spans="1:7" x14ac:dyDescent="0.25">
      <c r="A857" s="148" t="s">
        <v>1525</v>
      </c>
      <c r="B857" s="148" t="s">
        <v>1515</v>
      </c>
      <c r="C857" s="148" t="s">
        <v>1514</v>
      </c>
      <c r="D857" s="148" t="s">
        <v>1533</v>
      </c>
      <c r="E857" s="152">
        <v>40764</v>
      </c>
      <c r="F857" s="149">
        <v>13</v>
      </c>
      <c r="G857" s="149">
        <v>16341</v>
      </c>
    </row>
    <row r="858" spans="1:7" x14ac:dyDescent="0.25">
      <c r="A858" s="148" t="s">
        <v>1525</v>
      </c>
      <c r="B858" s="148" t="s">
        <v>1515</v>
      </c>
      <c r="C858" s="148" t="s">
        <v>1523</v>
      </c>
      <c r="D858" s="148" t="s">
        <v>1513</v>
      </c>
      <c r="E858" s="152">
        <v>40526</v>
      </c>
      <c r="F858" s="149">
        <v>13</v>
      </c>
      <c r="G858" s="149">
        <v>6864</v>
      </c>
    </row>
    <row r="859" spans="1:7" x14ac:dyDescent="0.25">
      <c r="A859" s="148" t="s">
        <v>1527</v>
      </c>
      <c r="B859" s="148" t="s">
        <v>1515</v>
      </c>
      <c r="C859" s="148" t="s">
        <v>1523</v>
      </c>
      <c r="D859" s="148" t="s">
        <v>1513</v>
      </c>
      <c r="E859" s="152">
        <v>40889</v>
      </c>
      <c r="F859" s="149">
        <v>13</v>
      </c>
      <c r="G859" s="149">
        <v>25727</v>
      </c>
    </row>
    <row r="860" spans="1:7" x14ac:dyDescent="0.25">
      <c r="A860" s="148" t="s">
        <v>1529</v>
      </c>
      <c r="B860" s="148" t="s">
        <v>1515</v>
      </c>
      <c r="C860" s="148" t="s">
        <v>1519</v>
      </c>
      <c r="D860" s="148" t="s">
        <v>1513</v>
      </c>
      <c r="E860" s="152">
        <v>40189</v>
      </c>
      <c r="F860" s="149">
        <v>13</v>
      </c>
      <c r="G860" s="149">
        <v>11102</v>
      </c>
    </row>
    <row r="861" spans="1:7" x14ac:dyDescent="0.25">
      <c r="A861" s="148" t="s">
        <v>1534</v>
      </c>
      <c r="B861" s="148" t="s">
        <v>1515</v>
      </c>
      <c r="C861" s="148" t="s">
        <v>1517</v>
      </c>
      <c r="D861" s="148" t="s">
        <v>1513</v>
      </c>
      <c r="E861" s="152">
        <v>40463</v>
      </c>
      <c r="F861" s="149">
        <v>13</v>
      </c>
      <c r="G861" s="149">
        <v>19825</v>
      </c>
    </row>
    <row r="862" spans="1:7" x14ac:dyDescent="0.25">
      <c r="A862" s="148" t="s">
        <v>1526</v>
      </c>
      <c r="B862" s="148" t="s">
        <v>1515</v>
      </c>
      <c r="C862" s="148" t="s">
        <v>1517</v>
      </c>
      <c r="D862" s="148" t="s">
        <v>1513</v>
      </c>
      <c r="E862" s="152">
        <v>40512</v>
      </c>
      <c r="F862" s="149">
        <v>13</v>
      </c>
      <c r="G862" s="149">
        <v>19448</v>
      </c>
    </row>
    <row r="863" spans="1:7" x14ac:dyDescent="0.25">
      <c r="A863" s="148" t="s">
        <v>1532</v>
      </c>
      <c r="B863" s="148" t="s">
        <v>1515</v>
      </c>
      <c r="C863" s="148" t="s">
        <v>1517</v>
      </c>
      <c r="D863" s="148" t="s">
        <v>1513</v>
      </c>
      <c r="E863" s="152">
        <v>40879</v>
      </c>
      <c r="F863" s="149">
        <v>13</v>
      </c>
      <c r="G863" s="149">
        <v>5278</v>
      </c>
    </row>
    <row r="864" spans="1:7" x14ac:dyDescent="0.25">
      <c r="A864" s="148" t="s">
        <v>1532</v>
      </c>
      <c r="B864" s="148" t="s">
        <v>1515</v>
      </c>
      <c r="C864" s="148" t="s">
        <v>1523</v>
      </c>
      <c r="D864" s="148" t="s">
        <v>1531</v>
      </c>
      <c r="E864" s="152">
        <v>40878</v>
      </c>
      <c r="F864" s="149">
        <v>13</v>
      </c>
      <c r="G864" s="149">
        <v>15717</v>
      </c>
    </row>
    <row r="865" spans="1:7" x14ac:dyDescent="0.25">
      <c r="A865" s="148" t="s">
        <v>1516</v>
      </c>
      <c r="B865" s="148" t="s">
        <v>1515</v>
      </c>
      <c r="C865" s="148" t="s">
        <v>1514</v>
      </c>
      <c r="D865" s="148" t="s">
        <v>1531</v>
      </c>
      <c r="E865" s="152">
        <v>40724</v>
      </c>
      <c r="F865" s="149">
        <v>13</v>
      </c>
      <c r="G865" s="149">
        <v>5681</v>
      </c>
    </row>
    <row r="866" spans="1:7" x14ac:dyDescent="0.25">
      <c r="A866" s="148" t="s">
        <v>1527</v>
      </c>
      <c r="B866" s="148" t="s">
        <v>1515</v>
      </c>
      <c r="C866" s="148" t="s">
        <v>1523</v>
      </c>
      <c r="D866" s="148" t="s">
        <v>1530</v>
      </c>
      <c r="E866" s="152">
        <v>40801</v>
      </c>
      <c r="F866" s="149">
        <v>13</v>
      </c>
      <c r="G866" s="149">
        <v>18421</v>
      </c>
    </row>
    <row r="867" spans="1:7" x14ac:dyDescent="0.25">
      <c r="A867" s="148" t="s">
        <v>1518</v>
      </c>
      <c r="B867" s="148" t="s">
        <v>1515</v>
      </c>
      <c r="C867" s="148" t="s">
        <v>1514</v>
      </c>
      <c r="D867" s="148" t="s">
        <v>1530</v>
      </c>
      <c r="E867" s="152">
        <v>40372</v>
      </c>
      <c r="F867" s="149">
        <v>13</v>
      </c>
      <c r="G867" s="149">
        <v>13910</v>
      </c>
    </row>
    <row r="868" spans="1:7" x14ac:dyDescent="0.25">
      <c r="A868" s="148" t="s">
        <v>1520</v>
      </c>
      <c r="B868" s="148" t="s">
        <v>1515</v>
      </c>
      <c r="C868" s="148" t="s">
        <v>1523</v>
      </c>
      <c r="D868" s="148" t="s">
        <v>1528</v>
      </c>
      <c r="E868" s="152">
        <v>40631</v>
      </c>
      <c r="F868" s="149">
        <v>13</v>
      </c>
      <c r="G868" s="149">
        <v>15704</v>
      </c>
    </row>
    <row r="869" spans="1:7" x14ac:dyDescent="0.25">
      <c r="A869" s="148" t="s">
        <v>1522</v>
      </c>
      <c r="B869" s="148" t="s">
        <v>1515</v>
      </c>
      <c r="C869" s="148" t="s">
        <v>1517</v>
      </c>
      <c r="D869" s="148" t="s">
        <v>1528</v>
      </c>
      <c r="E869" s="152">
        <v>40514</v>
      </c>
      <c r="F869" s="149">
        <v>13</v>
      </c>
      <c r="G869" s="149">
        <v>14196</v>
      </c>
    </row>
    <row r="870" spans="1:7" x14ac:dyDescent="0.25">
      <c r="A870" s="148" t="s">
        <v>1532</v>
      </c>
      <c r="B870" s="148" t="s">
        <v>1515</v>
      </c>
      <c r="C870" s="148" t="s">
        <v>1517</v>
      </c>
      <c r="D870" s="148" t="s">
        <v>1528</v>
      </c>
      <c r="E870" s="152">
        <v>40798</v>
      </c>
      <c r="F870" s="149">
        <v>13</v>
      </c>
      <c r="G870" s="149">
        <v>17537</v>
      </c>
    </row>
    <row r="871" spans="1:7" x14ac:dyDescent="0.25">
      <c r="A871" s="148" t="s">
        <v>1525</v>
      </c>
      <c r="B871" s="148" t="s">
        <v>1515</v>
      </c>
      <c r="C871" s="148" t="s">
        <v>1523</v>
      </c>
      <c r="D871" s="148" t="s">
        <v>1533</v>
      </c>
      <c r="E871" s="152">
        <v>40381</v>
      </c>
      <c r="F871" s="149">
        <v>14</v>
      </c>
      <c r="G871" s="149">
        <v>26194</v>
      </c>
    </row>
    <row r="872" spans="1:7" x14ac:dyDescent="0.25">
      <c r="A872" s="148" t="s">
        <v>1529</v>
      </c>
      <c r="B872" s="148" t="s">
        <v>1515</v>
      </c>
      <c r="C872" s="148" t="s">
        <v>1523</v>
      </c>
      <c r="D872" s="148" t="s">
        <v>1533</v>
      </c>
      <c r="E872" s="152">
        <v>40396</v>
      </c>
      <c r="F872" s="149">
        <v>14</v>
      </c>
      <c r="G872" s="149">
        <v>13244</v>
      </c>
    </row>
    <row r="873" spans="1:7" x14ac:dyDescent="0.25">
      <c r="A873" s="148" t="s">
        <v>1527</v>
      </c>
      <c r="B873" s="148" t="s">
        <v>1515</v>
      </c>
      <c r="C873" s="148" t="s">
        <v>1517</v>
      </c>
      <c r="D873" s="148" t="s">
        <v>1533</v>
      </c>
      <c r="E873" s="152">
        <v>40792</v>
      </c>
      <c r="F873" s="149">
        <v>14</v>
      </c>
      <c r="G873" s="149">
        <v>22386</v>
      </c>
    </row>
    <row r="874" spans="1:7" x14ac:dyDescent="0.25">
      <c r="A874" s="148" t="s">
        <v>1525</v>
      </c>
      <c r="B874" s="148" t="s">
        <v>1515</v>
      </c>
      <c r="C874" s="148" t="s">
        <v>1519</v>
      </c>
      <c r="D874" s="148" t="s">
        <v>1513</v>
      </c>
      <c r="E874" s="152">
        <v>40502</v>
      </c>
      <c r="F874" s="149">
        <v>14</v>
      </c>
      <c r="G874" s="149">
        <v>21560</v>
      </c>
    </row>
    <row r="875" spans="1:7" x14ac:dyDescent="0.25">
      <c r="A875" s="148" t="s">
        <v>1529</v>
      </c>
      <c r="B875" s="148" t="s">
        <v>1515</v>
      </c>
      <c r="C875" s="148" t="s">
        <v>1523</v>
      </c>
      <c r="D875" s="148" t="s">
        <v>1531</v>
      </c>
      <c r="E875" s="152">
        <v>40369</v>
      </c>
      <c r="F875" s="149">
        <v>14</v>
      </c>
      <c r="G875" s="149">
        <v>21434</v>
      </c>
    </row>
    <row r="876" spans="1:7" x14ac:dyDescent="0.25">
      <c r="A876" s="148" t="s">
        <v>1516</v>
      </c>
      <c r="B876" s="148" t="s">
        <v>1515</v>
      </c>
      <c r="C876" s="148" t="s">
        <v>1523</v>
      </c>
      <c r="D876" s="148" t="s">
        <v>1530</v>
      </c>
      <c r="E876" s="152">
        <v>40233</v>
      </c>
      <c r="F876" s="149">
        <v>14</v>
      </c>
      <c r="G876" s="153">
        <v>23814</v>
      </c>
    </row>
    <row r="877" spans="1:7" x14ac:dyDescent="0.25">
      <c r="A877" s="148" t="s">
        <v>1520</v>
      </c>
      <c r="B877" s="148" t="s">
        <v>1515</v>
      </c>
      <c r="C877" s="148" t="s">
        <v>1523</v>
      </c>
      <c r="D877" s="148" t="s">
        <v>1530</v>
      </c>
      <c r="E877" s="152">
        <v>40345</v>
      </c>
      <c r="F877" s="149">
        <v>14</v>
      </c>
      <c r="G877" s="149">
        <v>17192</v>
      </c>
    </row>
    <row r="878" spans="1:7" x14ac:dyDescent="0.25">
      <c r="A878" s="148" t="s">
        <v>1518</v>
      </c>
      <c r="B878" s="148" t="s">
        <v>1515</v>
      </c>
      <c r="C878" s="148" t="s">
        <v>1517</v>
      </c>
      <c r="D878" s="148" t="s">
        <v>1530</v>
      </c>
      <c r="E878" s="152">
        <v>40511</v>
      </c>
      <c r="F878" s="149">
        <v>14</v>
      </c>
      <c r="G878" s="149">
        <v>11676</v>
      </c>
    </row>
    <row r="879" spans="1:7" x14ac:dyDescent="0.25">
      <c r="A879" s="148" t="s">
        <v>1526</v>
      </c>
      <c r="B879" s="148" t="s">
        <v>1515</v>
      </c>
      <c r="C879" s="148" t="s">
        <v>1514</v>
      </c>
      <c r="D879" s="148" t="s">
        <v>1530</v>
      </c>
      <c r="E879" s="152">
        <v>40278</v>
      </c>
      <c r="F879" s="149">
        <v>14</v>
      </c>
      <c r="G879" s="149">
        <v>23394</v>
      </c>
    </row>
    <row r="880" spans="1:7" x14ac:dyDescent="0.25">
      <c r="A880" s="148" t="s">
        <v>1516</v>
      </c>
      <c r="B880" s="148" t="s">
        <v>1515</v>
      </c>
      <c r="C880" s="148" t="s">
        <v>1514</v>
      </c>
      <c r="D880" s="148" t="s">
        <v>1530</v>
      </c>
      <c r="E880" s="152">
        <v>40749</v>
      </c>
      <c r="F880" s="149">
        <v>14</v>
      </c>
      <c r="G880" s="149">
        <v>7560</v>
      </c>
    </row>
    <row r="881" spans="1:7" x14ac:dyDescent="0.25">
      <c r="A881" s="148" t="s">
        <v>1525</v>
      </c>
      <c r="B881" s="148" t="s">
        <v>1515</v>
      </c>
      <c r="C881" s="148" t="s">
        <v>1519</v>
      </c>
      <c r="D881" s="148" t="s">
        <v>1533</v>
      </c>
      <c r="E881" s="152">
        <v>40264</v>
      </c>
      <c r="F881" s="149">
        <v>15</v>
      </c>
      <c r="G881" s="149">
        <v>28650</v>
      </c>
    </row>
    <row r="882" spans="1:7" x14ac:dyDescent="0.25">
      <c r="A882" s="148" t="s">
        <v>1529</v>
      </c>
      <c r="B882" s="148" t="s">
        <v>1515</v>
      </c>
      <c r="C882" s="148" t="s">
        <v>1517</v>
      </c>
      <c r="D882" s="148" t="s">
        <v>1533</v>
      </c>
      <c r="E882" s="152">
        <v>40572</v>
      </c>
      <c r="F882" s="149">
        <v>15</v>
      </c>
      <c r="G882" s="149">
        <v>6240</v>
      </c>
    </row>
    <row r="883" spans="1:7" x14ac:dyDescent="0.25">
      <c r="A883" s="148" t="s">
        <v>1516</v>
      </c>
      <c r="B883" s="148" t="s">
        <v>1515</v>
      </c>
      <c r="C883" s="148" t="s">
        <v>1523</v>
      </c>
      <c r="D883" s="148" t="s">
        <v>1513</v>
      </c>
      <c r="E883" s="152">
        <v>40642</v>
      </c>
      <c r="F883" s="149">
        <v>15</v>
      </c>
      <c r="G883" s="149">
        <v>21165</v>
      </c>
    </row>
    <row r="884" spans="1:7" x14ac:dyDescent="0.25">
      <c r="A884" s="148" t="s">
        <v>1532</v>
      </c>
      <c r="B884" s="148" t="s">
        <v>1515</v>
      </c>
      <c r="C884" s="148" t="s">
        <v>1517</v>
      </c>
      <c r="D884" s="148" t="s">
        <v>1513</v>
      </c>
      <c r="E884" s="152">
        <v>40315</v>
      </c>
      <c r="F884" s="149">
        <v>15</v>
      </c>
      <c r="G884" s="149">
        <v>16830</v>
      </c>
    </row>
    <row r="885" spans="1:7" x14ac:dyDescent="0.25">
      <c r="A885" s="148" t="s">
        <v>1529</v>
      </c>
      <c r="B885" s="148" t="s">
        <v>1515</v>
      </c>
      <c r="C885" s="148" t="s">
        <v>1519</v>
      </c>
      <c r="D885" s="148" t="s">
        <v>1531</v>
      </c>
      <c r="E885" s="152">
        <v>40306</v>
      </c>
      <c r="F885" s="149">
        <v>15</v>
      </c>
      <c r="G885" s="149">
        <v>23430</v>
      </c>
    </row>
    <row r="886" spans="1:7" x14ac:dyDescent="0.25">
      <c r="A886" s="148" t="s">
        <v>1524</v>
      </c>
      <c r="B886" s="148" t="s">
        <v>1515</v>
      </c>
      <c r="C886" s="148" t="s">
        <v>1514</v>
      </c>
      <c r="D886" s="148" t="s">
        <v>1531</v>
      </c>
      <c r="E886" s="152">
        <v>40438</v>
      </c>
      <c r="F886" s="149">
        <v>15</v>
      </c>
      <c r="G886" s="149">
        <v>10890</v>
      </c>
    </row>
    <row r="887" spans="1:7" x14ac:dyDescent="0.25">
      <c r="A887" s="148" t="s">
        <v>1518</v>
      </c>
      <c r="B887" s="148" t="s">
        <v>1515</v>
      </c>
      <c r="C887" s="148" t="s">
        <v>1523</v>
      </c>
      <c r="D887" s="148" t="s">
        <v>1530</v>
      </c>
      <c r="E887" s="152">
        <v>40513</v>
      </c>
      <c r="F887" s="149">
        <v>15</v>
      </c>
      <c r="G887" s="149">
        <v>11235</v>
      </c>
    </row>
    <row r="888" spans="1:7" x14ac:dyDescent="0.25">
      <c r="A888" s="148" t="s">
        <v>1527</v>
      </c>
      <c r="B888" s="148" t="s">
        <v>1515</v>
      </c>
      <c r="C888" s="148" t="s">
        <v>1519</v>
      </c>
      <c r="D888" s="148" t="s">
        <v>1530</v>
      </c>
      <c r="E888" s="152">
        <v>40896</v>
      </c>
      <c r="F888" s="149">
        <v>15</v>
      </c>
      <c r="G888" s="149">
        <v>10590</v>
      </c>
    </row>
    <row r="889" spans="1:7" x14ac:dyDescent="0.25">
      <c r="A889" s="148" t="s">
        <v>1526</v>
      </c>
      <c r="B889" s="148" t="s">
        <v>1515</v>
      </c>
      <c r="C889" s="148" t="s">
        <v>1517</v>
      </c>
      <c r="D889" s="148" t="s">
        <v>1530</v>
      </c>
      <c r="E889" s="152">
        <v>40721</v>
      </c>
      <c r="F889" s="149">
        <v>15</v>
      </c>
      <c r="G889" s="149">
        <v>25515</v>
      </c>
    </row>
    <row r="890" spans="1:7" x14ac:dyDescent="0.25">
      <c r="A890" s="148" t="s">
        <v>1524</v>
      </c>
      <c r="B890" s="148" t="s">
        <v>1515</v>
      </c>
      <c r="C890" s="148" t="s">
        <v>1523</v>
      </c>
      <c r="D890" s="148" t="s">
        <v>1528</v>
      </c>
      <c r="E890" s="152">
        <v>40315</v>
      </c>
      <c r="F890" s="149">
        <v>15</v>
      </c>
      <c r="G890" s="149">
        <v>21090</v>
      </c>
    </row>
    <row r="891" spans="1:7" x14ac:dyDescent="0.25">
      <c r="A891" s="148" t="s">
        <v>1522</v>
      </c>
      <c r="B891" s="148" t="s">
        <v>1515</v>
      </c>
      <c r="C891" s="148" t="s">
        <v>1523</v>
      </c>
      <c r="D891" s="148" t="s">
        <v>1528</v>
      </c>
      <c r="E891" s="152">
        <v>40353</v>
      </c>
      <c r="F891" s="149">
        <v>15</v>
      </c>
      <c r="G891" s="149">
        <v>18660</v>
      </c>
    </row>
    <row r="892" spans="1:7" x14ac:dyDescent="0.25">
      <c r="A892" s="148" t="s">
        <v>1526</v>
      </c>
      <c r="B892" s="148" t="s">
        <v>1515</v>
      </c>
      <c r="C892" s="148" t="s">
        <v>1523</v>
      </c>
      <c r="D892" s="148" t="s">
        <v>1528</v>
      </c>
      <c r="E892" s="152">
        <v>40589</v>
      </c>
      <c r="F892" s="149">
        <v>15</v>
      </c>
      <c r="G892" s="149">
        <v>14235</v>
      </c>
    </row>
    <row r="893" spans="1:7" x14ac:dyDescent="0.25">
      <c r="A893" s="148" t="s">
        <v>1516</v>
      </c>
      <c r="B893" s="148" t="s">
        <v>1515</v>
      </c>
      <c r="C893" s="148" t="s">
        <v>1519</v>
      </c>
      <c r="D893" s="148" t="s">
        <v>1528</v>
      </c>
      <c r="E893" s="152">
        <v>40898</v>
      </c>
      <c r="F893" s="149">
        <v>15</v>
      </c>
      <c r="G893" s="149">
        <v>8055</v>
      </c>
    </row>
    <row r="894" spans="1:7" x14ac:dyDescent="0.25">
      <c r="A894" s="148" t="s">
        <v>1521</v>
      </c>
      <c r="B894" s="148" t="s">
        <v>1515</v>
      </c>
      <c r="C894" s="148" t="s">
        <v>1517</v>
      </c>
      <c r="D894" s="148" t="s">
        <v>1528</v>
      </c>
      <c r="E894" s="152">
        <v>40414</v>
      </c>
      <c r="F894" s="149">
        <v>15</v>
      </c>
      <c r="G894" s="149">
        <v>14220</v>
      </c>
    </row>
    <row r="895" spans="1:7" x14ac:dyDescent="0.25">
      <c r="A895" s="148" t="s">
        <v>1525</v>
      </c>
      <c r="B895" s="148" t="s">
        <v>1515</v>
      </c>
      <c r="C895" s="148" t="s">
        <v>1517</v>
      </c>
      <c r="D895" s="148" t="s">
        <v>1528</v>
      </c>
      <c r="E895" s="152">
        <v>40502</v>
      </c>
      <c r="F895" s="149">
        <v>15</v>
      </c>
      <c r="G895" s="149">
        <v>26250</v>
      </c>
    </row>
    <row r="896" spans="1:7" x14ac:dyDescent="0.25">
      <c r="A896" s="148" t="s">
        <v>1524</v>
      </c>
      <c r="B896" s="148" t="s">
        <v>1515</v>
      </c>
      <c r="C896" s="148" t="s">
        <v>1517</v>
      </c>
      <c r="D896" s="148" t="s">
        <v>1528</v>
      </c>
      <c r="E896" s="152">
        <v>40554</v>
      </c>
      <c r="F896" s="149">
        <v>15</v>
      </c>
      <c r="G896" s="149">
        <v>15855</v>
      </c>
    </row>
    <row r="897" spans="1:7" x14ac:dyDescent="0.25">
      <c r="A897" s="148" t="s">
        <v>1529</v>
      </c>
      <c r="B897" s="148" t="s">
        <v>1515</v>
      </c>
      <c r="C897" s="148" t="s">
        <v>1514</v>
      </c>
      <c r="D897" s="148" t="s">
        <v>1528</v>
      </c>
      <c r="E897" s="152">
        <v>40479</v>
      </c>
      <c r="F897" s="149">
        <v>15</v>
      </c>
      <c r="G897" s="149">
        <v>20160</v>
      </c>
    </row>
    <row r="898" spans="1:7" x14ac:dyDescent="0.25">
      <c r="A898" s="148" t="s">
        <v>1518</v>
      </c>
      <c r="B898" s="148" t="s">
        <v>1515</v>
      </c>
      <c r="C898" s="148" t="s">
        <v>1514</v>
      </c>
      <c r="D898" s="148" t="s">
        <v>1528</v>
      </c>
      <c r="E898" s="152">
        <v>40768</v>
      </c>
      <c r="F898" s="149">
        <v>15</v>
      </c>
      <c r="G898" s="149">
        <v>15045</v>
      </c>
    </row>
    <row r="899" spans="1:7" x14ac:dyDescent="0.25">
      <c r="A899" s="148" t="s">
        <v>1527</v>
      </c>
      <c r="B899" s="148" t="s">
        <v>1515</v>
      </c>
      <c r="C899" s="148" t="s">
        <v>1523</v>
      </c>
      <c r="D899" s="148" t="s">
        <v>1513</v>
      </c>
      <c r="E899" s="152">
        <v>40840</v>
      </c>
      <c r="F899" s="149">
        <v>16</v>
      </c>
      <c r="G899" s="149">
        <v>15408</v>
      </c>
    </row>
    <row r="900" spans="1:7" x14ac:dyDescent="0.25">
      <c r="A900" s="148" t="s">
        <v>1518</v>
      </c>
      <c r="B900" s="148" t="s">
        <v>1515</v>
      </c>
      <c r="C900" s="148" t="s">
        <v>1519</v>
      </c>
      <c r="D900" s="148" t="s">
        <v>1513</v>
      </c>
      <c r="E900" s="152">
        <v>40257</v>
      </c>
      <c r="F900" s="149">
        <v>16</v>
      </c>
      <c r="G900" s="149">
        <v>20352</v>
      </c>
    </row>
    <row r="901" spans="1:7" x14ac:dyDescent="0.25">
      <c r="A901" s="148" t="s">
        <v>1526</v>
      </c>
      <c r="B901" s="148" t="s">
        <v>1515</v>
      </c>
      <c r="C901" s="148" t="s">
        <v>1519</v>
      </c>
      <c r="D901" s="148" t="s">
        <v>1513</v>
      </c>
      <c r="E901" s="152">
        <v>40536</v>
      </c>
      <c r="F901" s="149">
        <v>16</v>
      </c>
      <c r="G901" s="149">
        <v>19232</v>
      </c>
    </row>
    <row r="902" spans="1:7" x14ac:dyDescent="0.25">
      <c r="A902" s="148" t="s">
        <v>1525</v>
      </c>
      <c r="B902" s="148" t="s">
        <v>1515</v>
      </c>
      <c r="C902" s="148" t="s">
        <v>1517</v>
      </c>
      <c r="D902" s="148" t="s">
        <v>1513</v>
      </c>
      <c r="E902" s="152">
        <v>40569</v>
      </c>
      <c r="F902" s="149">
        <v>17</v>
      </c>
      <c r="G902" s="149">
        <v>6987</v>
      </c>
    </row>
    <row r="903" spans="1:7" x14ac:dyDescent="0.25">
      <c r="A903" s="148" t="s">
        <v>1522</v>
      </c>
      <c r="B903" s="148" t="s">
        <v>1515</v>
      </c>
      <c r="C903" s="148" t="s">
        <v>1517</v>
      </c>
      <c r="D903" s="148" t="s">
        <v>1513</v>
      </c>
      <c r="E903" s="152">
        <v>40274</v>
      </c>
      <c r="F903" s="149">
        <v>18</v>
      </c>
      <c r="G903" s="149">
        <v>30564</v>
      </c>
    </row>
    <row r="904" spans="1:7" x14ac:dyDescent="0.25">
      <c r="A904" s="148" t="s">
        <v>1524</v>
      </c>
      <c r="B904" s="148" t="s">
        <v>1515</v>
      </c>
      <c r="C904" s="148" t="s">
        <v>1517</v>
      </c>
      <c r="D904" s="148" t="s">
        <v>1513</v>
      </c>
      <c r="E904" s="152">
        <v>40838</v>
      </c>
      <c r="F904" s="149">
        <v>18</v>
      </c>
      <c r="G904" s="149">
        <v>26334</v>
      </c>
    </row>
    <row r="905" spans="1:7" x14ac:dyDescent="0.25">
      <c r="A905" s="148" t="s">
        <v>1518</v>
      </c>
      <c r="B905" s="148" t="s">
        <v>1515</v>
      </c>
      <c r="C905" s="148" t="s">
        <v>1514</v>
      </c>
      <c r="D905" s="148" t="s">
        <v>1513</v>
      </c>
      <c r="E905" s="152">
        <v>40339</v>
      </c>
      <c r="F905" s="149">
        <v>18</v>
      </c>
      <c r="G905" s="149">
        <v>25794</v>
      </c>
    </row>
    <row r="906" spans="1:7" x14ac:dyDescent="0.25">
      <c r="A906" s="148" t="s">
        <v>1522</v>
      </c>
      <c r="B906" s="148" t="s">
        <v>1515</v>
      </c>
      <c r="C906" s="148" t="s">
        <v>1523</v>
      </c>
      <c r="D906" s="148" t="s">
        <v>1513</v>
      </c>
      <c r="E906" s="152">
        <v>40451</v>
      </c>
      <c r="F906" s="149">
        <v>19</v>
      </c>
      <c r="G906" s="149">
        <v>34276</v>
      </c>
    </row>
    <row r="907" spans="1:7" x14ac:dyDescent="0.25">
      <c r="A907" s="148" t="s">
        <v>1522</v>
      </c>
      <c r="B907" s="148" t="s">
        <v>1515</v>
      </c>
      <c r="C907" s="148" t="s">
        <v>1517</v>
      </c>
      <c r="D907" s="148" t="s">
        <v>1513</v>
      </c>
      <c r="E907" s="152">
        <v>40502</v>
      </c>
      <c r="F907" s="149">
        <v>19</v>
      </c>
      <c r="G907" s="149">
        <v>11552</v>
      </c>
    </row>
    <row r="908" spans="1:7" x14ac:dyDescent="0.25">
      <c r="A908" s="148" t="s">
        <v>1518</v>
      </c>
      <c r="B908" s="148" t="s">
        <v>1515</v>
      </c>
      <c r="C908" s="148" t="s">
        <v>1519</v>
      </c>
      <c r="D908" s="148" t="s">
        <v>1513</v>
      </c>
      <c r="E908" s="152">
        <v>40238</v>
      </c>
      <c r="F908" s="149">
        <v>20</v>
      </c>
      <c r="G908" s="149">
        <v>38040</v>
      </c>
    </row>
    <row r="909" spans="1:7" x14ac:dyDescent="0.25">
      <c r="A909" s="148" t="s">
        <v>1521</v>
      </c>
      <c r="B909" s="148" t="s">
        <v>1515</v>
      </c>
      <c r="C909" s="148" t="s">
        <v>1519</v>
      </c>
      <c r="D909" s="148" t="s">
        <v>1513</v>
      </c>
      <c r="E909" s="152">
        <v>40263</v>
      </c>
      <c r="F909" s="149">
        <v>20</v>
      </c>
      <c r="G909" s="149">
        <v>34360</v>
      </c>
    </row>
    <row r="910" spans="1:7" x14ac:dyDescent="0.25">
      <c r="A910" s="148" t="s">
        <v>1520</v>
      </c>
      <c r="B910" s="148" t="s">
        <v>1515</v>
      </c>
      <c r="C910" s="148" t="s">
        <v>1519</v>
      </c>
      <c r="D910" s="148" t="s">
        <v>1513</v>
      </c>
      <c r="E910" s="152">
        <v>40897</v>
      </c>
      <c r="F910" s="149">
        <v>20</v>
      </c>
      <c r="G910" s="149">
        <v>8420</v>
      </c>
    </row>
    <row r="911" spans="1:7" x14ac:dyDescent="0.25">
      <c r="A911" s="148" t="s">
        <v>1518</v>
      </c>
      <c r="B911" s="148" t="s">
        <v>1515</v>
      </c>
      <c r="C911" s="148" t="s">
        <v>1517</v>
      </c>
      <c r="D911" s="148" t="s">
        <v>1513</v>
      </c>
      <c r="E911" s="152">
        <v>40401</v>
      </c>
      <c r="F911" s="149">
        <v>20</v>
      </c>
      <c r="G911" s="149">
        <v>39780</v>
      </c>
    </row>
    <row r="912" spans="1:7" x14ac:dyDescent="0.25">
      <c r="A912" s="148" t="s">
        <v>1516</v>
      </c>
      <c r="B912" s="148" t="s">
        <v>1515</v>
      </c>
      <c r="C912" s="148" t="s">
        <v>1514</v>
      </c>
      <c r="D912" s="148" t="s">
        <v>1513</v>
      </c>
      <c r="E912" s="152">
        <v>40691</v>
      </c>
      <c r="F912" s="149">
        <v>20</v>
      </c>
      <c r="G912" s="149">
        <v>14120</v>
      </c>
    </row>
    <row r="913" spans="5:7" x14ac:dyDescent="0.25">
      <c r="E913" s="151"/>
      <c r="F913" s="148"/>
      <c r="G913" s="148"/>
    </row>
  </sheetData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4"/>
  <sheetViews>
    <sheetView zoomScale="145" zoomScaleNormal="145" workbookViewId="0">
      <selection activeCell="B35" sqref="B35"/>
    </sheetView>
  </sheetViews>
  <sheetFormatPr defaultRowHeight="15" x14ac:dyDescent="0.25"/>
  <cols>
    <col min="1" max="1" width="15.7109375" style="163" bestFit="1" customWidth="1"/>
    <col min="2" max="2" width="8.28515625" style="163" bestFit="1" customWidth="1"/>
    <col min="3" max="3" width="11.7109375" style="163" bestFit="1" customWidth="1"/>
    <col min="4" max="4" width="6.42578125" style="163" bestFit="1" customWidth="1"/>
    <col min="5" max="5" width="10.140625" style="163" bestFit="1" customWidth="1"/>
    <col min="6" max="6" width="7.42578125" style="163" bestFit="1" customWidth="1"/>
    <col min="7" max="7" width="9.5703125" style="163" bestFit="1" customWidth="1"/>
    <col min="8" max="10" width="9.140625" style="163"/>
    <col min="11" max="11" width="27.28515625" style="163" bestFit="1" customWidth="1"/>
    <col min="12" max="16384" width="9.140625" style="163"/>
  </cols>
  <sheetData>
    <row r="1" spans="1:12" x14ac:dyDescent="0.25">
      <c r="A1" s="29" t="s">
        <v>229</v>
      </c>
      <c r="B1" s="30" t="s">
        <v>230</v>
      </c>
      <c r="C1" s="31" t="s">
        <v>231</v>
      </c>
      <c r="D1" s="31" t="s">
        <v>234</v>
      </c>
      <c r="E1" s="31" t="s">
        <v>239</v>
      </c>
      <c r="J1" s="30" t="s">
        <v>230</v>
      </c>
      <c r="K1" s="31" t="s">
        <v>231</v>
      </c>
      <c r="L1" s="31" t="s">
        <v>234</v>
      </c>
    </row>
    <row r="2" spans="1:12" x14ac:dyDescent="0.25">
      <c r="J2" s="49" t="s">
        <v>245</v>
      </c>
      <c r="K2" s="48" t="s">
        <v>1546</v>
      </c>
      <c r="L2" s="48" t="s">
        <v>256</v>
      </c>
    </row>
    <row r="3" spans="1:12" x14ac:dyDescent="0.25">
      <c r="J3" s="49" t="s">
        <v>251</v>
      </c>
      <c r="K3" s="42" t="s">
        <v>272</v>
      </c>
      <c r="L3" s="48" t="s">
        <v>261</v>
      </c>
    </row>
    <row r="4" spans="1:12" x14ac:dyDescent="0.25">
      <c r="J4" s="49" t="s">
        <v>266</v>
      </c>
      <c r="K4" s="42" t="s">
        <v>296</v>
      </c>
      <c r="L4" s="48" t="s">
        <v>247</v>
      </c>
    </row>
    <row r="5" spans="1:12" x14ac:dyDescent="0.25">
      <c r="J5" s="49" t="s">
        <v>285</v>
      </c>
      <c r="K5" s="42" t="s">
        <v>307</v>
      </c>
      <c r="L5" s="48" t="s">
        <v>252</v>
      </c>
    </row>
    <row r="6" spans="1:12" x14ac:dyDescent="0.25">
      <c r="J6" s="49" t="s">
        <v>271</v>
      </c>
      <c r="K6" s="42" t="s">
        <v>312</v>
      </c>
    </row>
    <row r="7" spans="1:12" x14ac:dyDescent="0.25">
      <c r="J7" s="49" t="s">
        <v>280</v>
      </c>
      <c r="K7" s="42" t="s">
        <v>372</v>
      </c>
    </row>
    <row r="8" spans="1:12" x14ac:dyDescent="0.25">
      <c r="K8" s="42" t="s">
        <v>381</v>
      </c>
    </row>
    <row r="9" spans="1:12" x14ac:dyDescent="0.25">
      <c r="K9" s="42" t="s">
        <v>391</v>
      </c>
    </row>
    <row r="10" spans="1:12" x14ac:dyDescent="0.25">
      <c r="K10" s="42" t="s">
        <v>411</v>
      </c>
    </row>
    <row r="11" spans="1:12" x14ac:dyDescent="0.25">
      <c r="K11" s="42" t="s">
        <v>417</v>
      </c>
    </row>
    <row r="12" spans="1:12" x14ac:dyDescent="0.25">
      <c r="K12" s="42" t="s">
        <v>456</v>
      </c>
    </row>
    <row r="13" spans="1:12" x14ac:dyDescent="0.25">
      <c r="K13" s="42" t="s">
        <v>465</v>
      </c>
    </row>
    <row r="14" spans="1:12" x14ac:dyDescent="0.25">
      <c r="K14" s="42" t="s">
        <v>618</v>
      </c>
    </row>
    <row r="15" spans="1:12" x14ac:dyDescent="0.25">
      <c r="K15" s="42" t="s">
        <v>626</v>
      </c>
    </row>
    <row r="16" spans="1:12" x14ac:dyDescent="0.25">
      <c r="K16" s="42" t="s">
        <v>678</v>
      </c>
    </row>
    <row r="17" spans="11:11" x14ac:dyDescent="0.25">
      <c r="K17" s="42" t="s">
        <v>700</v>
      </c>
    </row>
    <row r="18" spans="11:11" x14ac:dyDescent="0.25">
      <c r="K18" s="42" t="s">
        <v>705</v>
      </c>
    </row>
    <row r="19" spans="11:11" x14ac:dyDescent="0.25">
      <c r="K19" s="42" t="s">
        <v>750</v>
      </c>
    </row>
    <row r="20" spans="11:11" x14ac:dyDescent="0.25">
      <c r="K20" s="42" t="s">
        <v>767</v>
      </c>
    </row>
    <row r="21" spans="11:11" x14ac:dyDescent="0.25">
      <c r="K21" s="42" t="s">
        <v>856</v>
      </c>
    </row>
    <row r="22" spans="11:11" x14ac:dyDescent="0.25">
      <c r="K22" s="42" t="s">
        <v>930</v>
      </c>
    </row>
    <row r="23" spans="11:11" x14ac:dyDescent="0.25">
      <c r="K23" s="42" t="s">
        <v>1025</v>
      </c>
    </row>
    <row r="24" spans="11:11" x14ac:dyDescent="0.25">
      <c r="K24" s="42" t="s">
        <v>1031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autoPageBreaks="0"/>
  </sheetPr>
  <dimension ref="A1:L742"/>
  <sheetViews>
    <sheetView topLeftCell="A16" zoomScale="85" zoomScaleNormal="85" zoomScaleSheetLayoutView="100" workbookViewId="0">
      <selection activeCell="B35" sqref="B35"/>
    </sheetView>
  </sheetViews>
  <sheetFormatPr defaultColWidth="19.85546875" defaultRowHeight="15" x14ac:dyDescent="0.25"/>
  <cols>
    <col min="1" max="1" width="19.5703125" style="164" bestFit="1" customWidth="1"/>
    <col min="2" max="2" width="22.42578125" style="164" customWidth="1"/>
    <col min="3" max="3" width="8.28515625" style="169" bestFit="1" customWidth="1"/>
    <col min="4" max="4" width="14" style="168" bestFit="1" customWidth="1"/>
    <col min="5" max="5" width="11.7109375" style="167" bestFit="1" customWidth="1"/>
    <col min="6" max="6" width="9.7109375" style="164" customWidth="1"/>
    <col min="7" max="7" width="11" style="165" bestFit="1" customWidth="1"/>
    <col min="8" max="8" width="5.85546875" style="166" bestFit="1" customWidth="1"/>
    <col min="9" max="9" width="10.85546875" style="165" bestFit="1" customWidth="1"/>
    <col min="10" max="10" width="8.42578125" style="164" bestFit="1" customWidth="1"/>
    <col min="11" max="11" width="9.140625" style="73" bestFit="1" customWidth="1"/>
    <col min="12" max="12" width="10" style="164" bestFit="1" customWidth="1"/>
    <col min="13" max="16384" width="19.85546875" style="164"/>
  </cols>
  <sheetData>
    <row r="1" spans="1:12" x14ac:dyDescent="0.25">
      <c r="A1" s="186" t="s">
        <v>229</v>
      </c>
      <c r="B1" s="180" t="s">
        <v>231</v>
      </c>
      <c r="C1" s="179" t="s">
        <v>230</v>
      </c>
      <c r="D1" s="185" t="s">
        <v>233</v>
      </c>
      <c r="E1" s="184" t="s">
        <v>232</v>
      </c>
      <c r="F1" s="180" t="s">
        <v>234</v>
      </c>
      <c r="G1" s="183" t="s">
        <v>235</v>
      </c>
      <c r="H1" s="182" t="s">
        <v>237</v>
      </c>
      <c r="I1" s="181" t="s">
        <v>236</v>
      </c>
      <c r="J1" s="180" t="s">
        <v>238</v>
      </c>
      <c r="K1" s="37" t="s">
        <v>239</v>
      </c>
      <c r="L1" s="179" t="s">
        <v>240</v>
      </c>
    </row>
    <row r="2" spans="1:12" x14ac:dyDescent="0.25">
      <c r="A2" s="164" t="s">
        <v>863</v>
      </c>
      <c r="B2" s="175" t="s">
        <v>246</v>
      </c>
      <c r="C2" s="174" t="s">
        <v>251</v>
      </c>
      <c r="D2" s="178">
        <v>9195818082</v>
      </c>
      <c r="E2" s="177">
        <v>411526157</v>
      </c>
      <c r="F2" s="175" t="s">
        <v>252</v>
      </c>
      <c r="G2" s="171">
        <v>34574</v>
      </c>
      <c r="H2" s="54">
        <f ca="1">DATEDIF(G2,TODAY(),"Y")</f>
        <v>22</v>
      </c>
      <c r="I2" s="170" t="str">
        <f>CHOOSE(MONTH(G2),"January","February","March","April","May","June","July","August","September","October","November","December")</f>
        <v>August</v>
      </c>
      <c r="J2" s="55"/>
      <c r="K2" s="56">
        <v>42816</v>
      </c>
      <c r="L2" s="169">
        <v>2</v>
      </c>
    </row>
    <row r="3" spans="1:12" x14ac:dyDescent="0.25">
      <c r="A3" s="164" t="s">
        <v>790</v>
      </c>
      <c r="B3" s="175" t="s">
        <v>246</v>
      </c>
      <c r="C3" s="174" t="s">
        <v>245</v>
      </c>
      <c r="D3" s="178">
        <v>2523539786</v>
      </c>
      <c r="E3" s="177">
        <v>948195711</v>
      </c>
      <c r="F3" s="175" t="s">
        <v>247</v>
      </c>
      <c r="G3" s="171">
        <v>39875</v>
      </c>
      <c r="H3" s="54">
        <f ca="1">DATEDIF(G3,TODAY(),"Y")</f>
        <v>7</v>
      </c>
      <c r="I3" s="170" t="str">
        <f>CHOOSE(MONTH(G3),"January","February","March","April","May","June","July","August","September","October","November","December")</f>
        <v>March</v>
      </c>
      <c r="J3" s="55"/>
      <c r="K3" s="56">
        <v>51048</v>
      </c>
      <c r="L3" s="169">
        <v>5</v>
      </c>
    </row>
    <row r="4" spans="1:12" x14ac:dyDescent="0.25">
      <c r="A4" s="164" t="s">
        <v>951</v>
      </c>
      <c r="B4" s="175" t="s">
        <v>246</v>
      </c>
      <c r="C4" s="174" t="s">
        <v>245</v>
      </c>
      <c r="D4" s="178">
        <v>4022804104</v>
      </c>
      <c r="E4" s="177">
        <v>100432924</v>
      </c>
      <c r="F4" s="175" t="s">
        <v>256</v>
      </c>
      <c r="G4" s="171">
        <v>36899</v>
      </c>
      <c r="H4" s="54">
        <f ca="1">DATEDIF(G4,TODAY(),"Y")</f>
        <v>15</v>
      </c>
      <c r="I4" s="170" t="str">
        <f>CHOOSE(MONTH(G4),"January","February","March","April","May","June","July","August","September","October","November","December")</f>
        <v>January</v>
      </c>
      <c r="J4" s="55" t="s">
        <v>257</v>
      </c>
      <c r="K4" s="56">
        <v>29460</v>
      </c>
      <c r="L4" s="169">
        <v>1</v>
      </c>
    </row>
    <row r="5" spans="1:12" x14ac:dyDescent="0.25">
      <c r="A5" s="164" t="s">
        <v>740</v>
      </c>
      <c r="B5" s="175" t="s">
        <v>246</v>
      </c>
      <c r="C5" s="174" t="s">
        <v>266</v>
      </c>
      <c r="D5" s="178">
        <v>2528138394</v>
      </c>
      <c r="E5" s="177">
        <v>991656720</v>
      </c>
      <c r="F5" s="175" t="s">
        <v>256</v>
      </c>
      <c r="G5" s="171">
        <v>40175</v>
      </c>
      <c r="H5" s="54">
        <f ca="1">DATEDIF(G5,TODAY(),"Y")</f>
        <v>6</v>
      </c>
      <c r="I5" s="170" t="str">
        <f>CHOOSE(MONTH(G5),"January","February","March","April","May","June","July","August","September","October","November","December")</f>
        <v>December</v>
      </c>
      <c r="J5" s="55" t="s">
        <v>267</v>
      </c>
      <c r="K5" s="56">
        <v>87396</v>
      </c>
      <c r="L5" s="169">
        <v>2</v>
      </c>
    </row>
    <row r="6" spans="1:12" x14ac:dyDescent="0.25">
      <c r="A6" s="164" t="s">
        <v>357</v>
      </c>
      <c r="B6" s="175" t="s">
        <v>246</v>
      </c>
      <c r="C6" s="174" t="s">
        <v>245</v>
      </c>
      <c r="D6" s="178">
        <v>2521774590</v>
      </c>
      <c r="E6" s="177">
        <v>914428485</v>
      </c>
      <c r="F6" s="175" t="s">
        <v>261</v>
      </c>
      <c r="G6" s="171">
        <v>34018</v>
      </c>
      <c r="H6" s="54">
        <f ca="1">DATEDIF(G6,TODAY(),"Y")</f>
        <v>23</v>
      </c>
      <c r="I6" s="170" t="str">
        <f>CHOOSE(MONTH(G6),"January","February","March","April","May","June","July","August","September","October","November","December")</f>
        <v>February</v>
      </c>
      <c r="J6" s="55" t="s">
        <v>262</v>
      </c>
      <c r="K6" s="56">
        <v>32154</v>
      </c>
      <c r="L6" s="169">
        <v>4</v>
      </c>
    </row>
    <row r="7" spans="1:12" x14ac:dyDescent="0.25">
      <c r="A7" s="164" t="s">
        <v>617</v>
      </c>
      <c r="B7" s="164" t="s">
        <v>272</v>
      </c>
      <c r="C7" s="174" t="s">
        <v>266</v>
      </c>
      <c r="D7" s="173">
        <v>9198449868</v>
      </c>
      <c r="E7" s="172">
        <v>840313216</v>
      </c>
      <c r="F7" s="164" t="s">
        <v>256</v>
      </c>
      <c r="G7" s="171">
        <v>39797</v>
      </c>
      <c r="H7" s="54">
        <f ca="1">DATEDIF(G7,TODAY(),"Y")</f>
        <v>7</v>
      </c>
      <c r="I7" s="170" t="str">
        <f>CHOOSE(MONTH(G7),"January","February","March","April","May","June","July","August","September","October","November","December")</f>
        <v>December</v>
      </c>
      <c r="J7" s="55" t="s">
        <v>267</v>
      </c>
      <c r="K7" s="56">
        <v>45204</v>
      </c>
      <c r="L7" s="169">
        <v>3</v>
      </c>
    </row>
    <row r="8" spans="1:12" x14ac:dyDescent="0.25">
      <c r="A8" s="164" t="s">
        <v>766</v>
      </c>
      <c r="B8" s="175" t="s">
        <v>272</v>
      </c>
      <c r="C8" s="174" t="s">
        <v>245</v>
      </c>
      <c r="D8" s="178">
        <v>2522872439</v>
      </c>
      <c r="E8" s="177">
        <v>771277493</v>
      </c>
      <c r="F8" s="175" t="s">
        <v>252</v>
      </c>
      <c r="G8" s="171">
        <v>40854</v>
      </c>
      <c r="H8" s="54">
        <f ca="1">DATEDIF(G8,TODAY(),"Y")</f>
        <v>5</v>
      </c>
      <c r="I8" s="170" t="str">
        <f>CHOOSE(MONTH(G8),"January","February","March","April","May","June","July","August","September","October","November","December")</f>
        <v>November</v>
      </c>
      <c r="J8" s="55"/>
      <c r="K8" s="56">
        <v>12763</v>
      </c>
      <c r="L8" s="169">
        <v>4</v>
      </c>
    </row>
    <row r="9" spans="1:12" x14ac:dyDescent="0.25">
      <c r="A9" s="164" t="s">
        <v>768</v>
      </c>
      <c r="B9" s="175" t="s">
        <v>272</v>
      </c>
      <c r="C9" s="174" t="s">
        <v>271</v>
      </c>
      <c r="D9" s="178">
        <v>2521641031</v>
      </c>
      <c r="E9" s="177">
        <v>638271383</v>
      </c>
      <c r="F9" s="175" t="s">
        <v>256</v>
      </c>
      <c r="G9" s="171">
        <v>38870</v>
      </c>
      <c r="H9" s="54">
        <f ca="1">DATEDIF(G9,TODAY(),"Y")</f>
        <v>10</v>
      </c>
      <c r="I9" s="170" t="str">
        <f>CHOOSE(MONTH(G9),"January","February","March","April","May","June","July","August","September","October","November","December")</f>
        <v>June</v>
      </c>
      <c r="J9" s="55" t="s">
        <v>257</v>
      </c>
      <c r="K9" s="56">
        <v>59220</v>
      </c>
      <c r="L9" s="169">
        <v>4</v>
      </c>
    </row>
    <row r="10" spans="1:12" x14ac:dyDescent="0.25">
      <c r="A10" s="164" t="s">
        <v>707</v>
      </c>
      <c r="B10" s="164" t="s">
        <v>272</v>
      </c>
      <c r="C10" s="174" t="s">
        <v>245</v>
      </c>
      <c r="D10" s="173">
        <v>2523646601</v>
      </c>
      <c r="E10" s="172">
        <v>767961463</v>
      </c>
      <c r="F10" s="164" t="s">
        <v>247</v>
      </c>
      <c r="G10" s="171">
        <v>37505</v>
      </c>
      <c r="H10" s="54">
        <f ca="1">DATEDIF(G10,TODAY(),"Y")</f>
        <v>14</v>
      </c>
      <c r="I10" s="170" t="str">
        <f>CHOOSE(MONTH(G10),"January","February","March","April","May","June","July","August","September","October","November","December")</f>
        <v>September</v>
      </c>
      <c r="J10" s="55"/>
      <c r="K10" s="56">
        <v>92028</v>
      </c>
      <c r="L10" s="169">
        <v>3</v>
      </c>
    </row>
    <row r="11" spans="1:12" x14ac:dyDescent="0.25">
      <c r="A11" s="164" t="s">
        <v>418</v>
      </c>
      <c r="B11" s="164" t="s">
        <v>272</v>
      </c>
      <c r="C11" s="174" t="s">
        <v>285</v>
      </c>
      <c r="D11" s="173">
        <v>2527317354</v>
      </c>
      <c r="E11" s="172">
        <v>542051793</v>
      </c>
      <c r="F11" s="164" t="s">
        <v>256</v>
      </c>
      <c r="G11" s="171">
        <v>36988</v>
      </c>
      <c r="H11" s="54">
        <f ca="1">DATEDIF(G11,TODAY(),"Y")</f>
        <v>15</v>
      </c>
      <c r="I11" s="170" t="str">
        <f>CHOOSE(MONTH(G11),"January","February","March","April","May","June","July","August","September","October","November","December")</f>
        <v>April</v>
      </c>
      <c r="J11" s="55" t="s">
        <v>257</v>
      </c>
      <c r="K11" s="56">
        <v>90180</v>
      </c>
      <c r="L11" s="169">
        <v>1</v>
      </c>
    </row>
    <row r="12" spans="1:12" x14ac:dyDescent="0.25">
      <c r="A12" s="164" t="s">
        <v>632</v>
      </c>
      <c r="B12" s="164" t="s">
        <v>272</v>
      </c>
      <c r="C12" s="174" t="s">
        <v>251</v>
      </c>
      <c r="D12" s="173">
        <v>9192693355</v>
      </c>
      <c r="E12" s="172">
        <v>975603308</v>
      </c>
      <c r="F12" s="164" t="s">
        <v>256</v>
      </c>
      <c r="G12" s="171">
        <v>38132</v>
      </c>
      <c r="H12" s="54">
        <f ca="1">DATEDIF(G12,TODAY(),"Y")</f>
        <v>12</v>
      </c>
      <c r="I12" s="170" t="str">
        <f>CHOOSE(MONTH(G12),"January","February","March","April","May","June","July","August","September","October","November","December")</f>
        <v>May</v>
      </c>
      <c r="J12" s="55" t="s">
        <v>257</v>
      </c>
      <c r="K12" s="56">
        <v>36936</v>
      </c>
      <c r="L12" s="169">
        <v>4</v>
      </c>
    </row>
    <row r="13" spans="1:12" x14ac:dyDescent="0.25">
      <c r="A13" s="164" t="s">
        <v>421</v>
      </c>
      <c r="B13" s="175" t="s">
        <v>272</v>
      </c>
      <c r="C13" s="174" t="s">
        <v>251</v>
      </c>
      <c r="D13" s="178">
        <v>2527936742</v>
      </c>
      <c r="E13" s="177">
        <v>356110882</v>
      </c>
      <c r="F13" s="175" t="s">
        <v>261</v>
      </c>
      <c r="G13" s="171">
        <v>36945</v>
      </c>
      <c r="H13" s="54">
        <f ca="1">DATEDIF(G13,TODAY(),"Y")</f>
        <v>15</v>
      </c>
      <c r="I13" s="170" t="str">
        <f>CHOOSE(MONTH(G13),"January","February","March","April","May","June","July","August","September","October","November","December")</f>
        <v>February</v>
      </c>
      <c r="J13" s="55" t="s">
        <v>257</v>
      </c>
      <c r="K13" s="56">
        <v>18288</v>
      </c>
      <c r="L13" s="169">
        <v>1</v>
      </c>
    </row>
    <row r="14" spans="1:12" x14ac:dyDescent="0.25">
      <c r="A14" s="164" t="s">
        <v>946</v>
      </c>
      <c r="B14" s="175" t="s">
        <v>272</v>
      </c>
      <c r="C14" s="174" t="s">
        <v>280</v>
      </c>
      <c r="D14" s="178">
        <v>2527852326</v>
      </c>
      <c r="E14" s="177">
        <v>475256935</v>
      </c>
      <c r="F14" s="175" t="s">
        <v>256</v>
      </c>
      <c r="G14" s="171">
        <v>36470</v>
      </c>
      <c r="H14" s="54">
        <f ca="1">DATEDIF(G14,TODAY(),"Y")</f>
        <v>17</v>
      </c>
      <c r="I14" s="170" t="str">
        <f>CHOOSE(MONTH(G14),"January","February","March","April","May","June","July","August","September","October","November","December")</f>
        <v>November</v>
      </c>
      <c r="J14" s="55" t="s">
        <v>283</v>
      </c>
      <c r="K14" s="56">
        <v>102360</v>
      </c>
      <c r="L14" s="169">
        <v>2</v>
      </c>
    </row>
    <row r="15" spans="1:12" x14ac:dyDescent="0.25">
      <c r="A15" s="164" t="s">
        <v>717</v>
      </c>
      <c r="B15" s="164" t="s">
        <v>272</v>
      </c>
      <c r="C15" s="174" t="s">
        <v>285</v>
      </c>
      <c r="D15" s="173">
        <v>9194075460</v>
      </c>
      <c r="E15" s="172">
        <v>608796012</v>
      </c>
      <c r="F15" s="164" t="s">
        <v>256</v>
      </c>
      <c r="G15" s="171">
        <v>34559</v>
      </c>
      <c r="H15" s="54">
        <f ca="1">DATEDIF(G15,TODAY(),"Y")</f>
        <v>22</v>
      </c>
      <c r="I15" s="170" t="str">
        <f>CHOOSE(MONTH(G15),"January","February","March","April","May","June","July","August","September","October","November","December")</f>
        <v>August</v>
      </c>
      <c r="J15" s="55" t="s">
        <v>257</v>
      </c>
      <c r="K15" s="56">
        <v>95712</v>
      </c>
      <c r="L15" s="169">
        <v>5</v>
      </c>
    </row>
    <row r="16" spans="1:12" x14ac:dyDescent="0.25">
      <c r="A16" s="164" t="s">
        <v>335</v>
      </c>
      <c r="B16" s="164" t="s">
        <v>272</v>
      </c>
      <c r="C16" s="174" t="s">
        <v>285</v>
      </c>
      <c r="D16" s="173">
        <v>8021673267</v>
      </c>
      <c r="E16" s="172">
        <v>768681542</v>
      </c>
      <c r="F16" s="164" t="s">
        <v>256</v>
      </c>
      <c r="G16" s="171">
        <v>36192</v>
      </c>
      <c r="H16" s="54">
        <f ca="1">DATEDIF(G16,TODAY(),"Y")</f>
        <v>17</v>
      </c>
      <c r="I16" s="170" t="str">
        <f>CHOOSE(MONTH(G16),"January","February","March","April","May","June","July","August","September","October","November","December")</f>
        <v>February</v>
      </c>
      <c r="J16" s="55" t="s">
        <v>257</v>
      </c>
      <c r="K16" s="56">
        <v>72996</v>
      </c>
      <c r="L16" s="169">
        <v>2</v>
      </c>
    </row>
    <row r="17" spans="1:12" x14ac:dyDescent="0.25">
      <c r="A17" s="164" t="s">
        <v>977</v>
      </c>
      <c r="B17" s="164" t="s">
        <v>272</v>
      </c>
      <c r="C17" s="174" t="s">
        <v>271</v>
      </c>
      <c r="D17" s="173">
        <v>9197889149</v>
      </c>
      <c r="E17" s="172">
        <v>781913936</v>
      </c>
      <c r="F17" s="164" t="s">
        <v>261</v>
      </c>
      <c r="G17" s="171">
        <v>38510</v>
      </c>
      <c r="H17" s="54">
        <f ca="1">DATEDIF(G17,TODAY(),"Y")</f>
        <v>11</v>
      </c>
      <c r="I17" s="170" t="str">
        <f>CHOOSE(MONTH(G17),"January","February","March","April","May","June","July","August","September","October","November","December")</f>
        <v>June</v>
      </c>
      <c r="J17" s="55" t="s">
        <v>276</v>
      </c>
      <c r="K17" s="56">
        <v>21282</v>
      </c>
      <c r="L17" s="169">
        <v>3</v>
      </c>
    </row>
    <row r="18" spans="1:12" x14ac:dyDescent="0.25">
      <c r="A18" s="164" t="s">
        <v>655</v>
      </c>
      <c r="B18" s="175" t="s">
        <v>272</v>
      </c>
      <c r="C18" s="174" t="s">
        <v>280</v>
      </c>
      <c r="D18" s="178">
        <v>9195230846</v>
      </c>
      <c r="E18" s="177">
        <v>415076748</v>
      </c>
      <c r="F18" s="175" t="s">
        <v>252</v>
      </c>
      <c r="G18" s="171">
        <v>34210</v>
      </c>
      <c r="H18" s="54">
        <f ca="1">DATEDIF(G18,TODAY(),"Y")</f>
        <v>23</v>
      </c>
      <c r="I18" s="170" t="str">
        <f>CHOOSE(MONTH(G18),"January","February","March","April","May","June","July","August","September","October","November","December")</f>
        <v>August</v>
      </c>
      <c r="J18" s="55" t="s">
        <v>257</v>
      </c>
      <c r="K18" s="56">
        <v>34884</v>
      </c>
      <c r="L18" s="169">
        <v>3</v>
      </c>
    </row>
    <row r="19" spans="1:12" x14ac:dyDescent="0.25">
      <c r="A19" s="164" t="s">
        <v>552</v>
      </c>
      <c r="B19" s="175" t="s">
        <v>272</v>
      </c>
      <c r="C19" s="174" t="s">
        <v>271</v>
      </c>
      <c r="D19" s="178">
        <v>2523492633</v>
      </c>
      <c r="E19" s="177">
        <v>535539723</v>
      </c>
      <c r="F19" s="175" t="s">
        <v>261</v>
      </c>
      <c r="G19" s="171">
        <v>34202</v>
      </c>
      <c r="H19" s="54">
        <f ca="1">DATEDIF(G19,TODAY(),"Y")</f>
        <v>23</v>
      </c>
      <c r="I19" s="170" t="str">
        <f>CHOOSE(MONTH(G19),"January","February","March","April","May","June","July","August","September","October","November","December")</f>
        <v>August</v>
      </c>
      <c r="J19" s="55" t="s">
        <v>262</v>
      </c>
      <c r="K19" s="56">
        <v>36534</v>
      </c>
      <c r="L19" s="169">
        <v>1</v>
      </c>
    </row>
    <row r="20" spans="1:12" x14ac:dyDescent="0.25">
      <c r="A20" s="164" t="s">
        <v>581</v>
      </c>
      <c r="B20" s="164" t="s">
        <v>272</v>
      </c>
      <c r="C20" s="174" t="s">
        <v>271</v>
      </c>
      <c r="D20" s="173">
        <v>2528467597</v>
      </c>
      <c r="E20" s="172">
        <v>202815919</v>
      </c>
      <c r="F20" s="164" t="s">
        <v>247</v>
      </c>
      <c r="G20" s="171">
        <v>34804</v>
      </c>
      <c r="H20" s="54">
        <f ca="1">DATEDIF(G20,TODAY(),"Y")</f>
        <v>21</v>
      </c>
      <c r="I20" s="170" t="str">
        <f>CHOOSE(MONTH(G20),"January","February","March","April","May","June","July","August","September","October","November","December")</f>
        <v>April</v>
      </c>
      <c r="J20" s="55"/>
      <c r="K20" s="56">
        <v>79896</v>
      </c>
      <c r="L20" s="169">
        <v>5</v>
      </c>
    </row>
    <row r="21" spans="1:12" x14ac:dyDescent="0.25">
      <c r="A21" s="164" t="s">
        <v>1005</v>
      </c>
      <c r="B21" s="164" t="s">
        <v>272</v>
      </c>
      <c r="C21" s="174" t="s">
        <v>266</v>
      </c>
      <c r="D21" s="173">
        <v>9194680033</v>
      </c>
      <c r="E21" s="172">
        <v>456946966</v>
      </c>
      <c r="F21" s="164" t="s">
        <v>256</v>
      </c>
      <c r="G21" s="171">
        <v>37492</v>
      </c>
      <c r="H21" s="54">
        <f ca="1">DATEDIF(G21,TODAY(),"Y")</f>
        <v>14</v>
      </c>
      <c r="I21" s="170" t="str">
        <f>CHOOSE(MONTH(G21),"January","February","March","April","May","June","July","August","September","October","November","December")</f>
        <v>August</v>
      </c>
      <c r="J21" s="55" t="s">
        <v>276</v>
      </c>
      <c r="K21" s="56">
        <v>89808</v>
      </c>
      <c r="L21" s="169">
        <v>4</v>
      </c>
    </row>
    <row r="22" spans="1:12" x14ac:dyDescent="0.25">
      <c r="A22" s="164" t="s">
        <v>702</v>
      </c>
      <c r="B22" s="164" t="s">
        <v>272</v>
      </c>
      <c r="C22" s="174" t="s">
        <v>251</v>
      </c>
      <c r="D22" s="173">
        <v>9196479087</v>
      </c>
      <c r="E22" s="172">
        <v>481336564</v>
      </c>
      <c r="F22" s="164" t="s">
        <v>256</v>
      </c>
      <c r="G22" s="171">
        <v>36871</v>
      </c>
      <c r="H22" s="54">
        <f ca="1">DATEDIF(G22,TODAY(),"Y")</f>
        <v>15</v>
      </c>
      <c r="I22" s="170" t="str">
        <f>CHOOSE(MONTH(G22),"January","February","March","April","May","June","July","August","September","October","November","December")</f>
        <v>December</v>
      </c>
      <c r="J22" s="55" t="s">
        <v>283</v>
      </c>
      <c r="K22" s="56">
        <v>86508</v>
      </c>
      <c r="L22" s="169">
        <v>5</v>
      </c>
    </row>
    <row r="23" spans="1:12" x14ac:dyDescent="0.25">
      <c r="A23" s="164" t="s">
        <v>747</v>
      </c>
      <c r="B23" s="175" t="s">
        <v>272</v>
      </c>
      <c r="C23" s="174" t="s">
        <v>245</v>
      </c>
      <c r="D23" s="178">
        <v>2525832994</v>
      </c>
      <c r="E23" s="177">
        <v>297852686</v>
      </c>
      <c r="F23" s="175" t="s">
        <v>256</v>
      </c>
      <c r="G23" s="171">
        <v>40432</v>
      </c>
      <c r="H23" s="54">
        <f ca="1">DATEDIF(G23,TODAY(),"Y")</f>
        <v>6</v>
      </c>
      <c r="I23" s="170" t="str">
        <f>CHOOSE(MONTH(G23),"January","February","March","April","May","June","July","August","September","October","November","December")</f>
        <v>September</v>
      </c>
      <c r="J23" s="55" t="s">
        <v>276</v>
      </c>
      <c r="K23" s="56">
        <v>69948</v>
      </c>
      <c r="L23" s="169">
        <v>5</v>
      </c>
    </row>
    <row r="24" spans="1:12" x14ac:dyDescent="0.25">
      <c r="A24" s="164" t="s">
        <v>858</v>
      </c>
      <c r="B24" s="164" t="s">
        <v>296</v>
      </c>
      <c r="C24" s="174" t="s">
        <v>245</v>
      </c>
      <c r="D24" s="173">
        <v>2524383168</v>
      </c>
      <c r="E24" s="172">
        <v>963028490</v>
      </c>
      <c r="F24" s="164" t="s">
        <v>256</v>
      </c>
      <c r="G24" s="171">
        <v>34279</v>
      </c>
      <c r="H24" s="54">
        <f ca="1">DATEDIF(G24,TODAY(),"Y")</f>
        <v>23</v>
      </c>
      <c r="I24" s="170" t="str">
        <f>CHOOSE(MONTH(G24),"January","February","March","April","May","June","July","August","September","October","November","December")</f>
        <v>November</v>
      </c>
      <c r="J24" s="55" t="s">
        <v>262</v>
      </c>
      <c r="K24" s="56">
        <v>49620</v>
      </c>
      <c r="L24" s="169">
        <v>2</v>
      </c>
    </row>
    <row r="25" spans="1:12" x14ac:dyDescent="0.25">
      <c r="A25" s="164" t="s">
        <v>959</v>
      </c>
      <c r="B25" s="164" t="s">
        <v>296</v>
      </c>
      <c r="C25" s="174" t="s">
        <v>285</v>
      </c>
      <c r="D25" s="173">
        <v>9195882405</v>
      </c>
      <c r="E25" s="172">
        <v>237359447</v>
      </c>
      <c r="F25" s="164" t="s">
        <v>256</v>
      </c>
      <c r="G25" s="171">
        <v>35029</v>
      </c>
      <c r="H25" s="54">
        <f ca="1">DATEDIF(G25,TODAY(),"Y")</f>
        <v>20</v>
      </c>
      <c r="I25" s="170" t="str">
        <f>CHOOSE(MONTH(G25),"January","February","March","April","May","June","July","August","September","October","November","December")</f>
        <v>November</v>
      </c>
      <c r="J25" s="55" t="s">
        <v>257</v>
      </c>
      <c r="K25" s="56">
        <v>88128</v>
      </c>
      <c r="L25" s="169">
        <v>1</v>
      </c>
    </row>
    <row r="26" spans="1:12" x14ac:dyDescent="0.25">
      <c r="A26" s="164" t="s">
        <v>620</v>
      </c>
      <c r="B26" s="164" t="s">
        <v>296</v>
      </c>
      <c r="C26" s="174" t="s">
        <v>285</v>
      </c>
      <c r="D26" s="173">
        <v>9192572783</v>
      </c>
      <c r="E26" s="172">
        <v>533976888</v>
      </c>
      <c r="F26" s="164" t="s">
        <v>256</v>
      </c>
      <c r="G26" s="171">
        <v>36942</v>
      </c>
      <c r="H26" s="54">
        <f ca="1">DATEDIF(G26,TODAY(),"Y")</f>
        <v>15</v>
      </c>
      <c r="I26" s="170" t="str">
        <f>CHOOSE(MONTH(G26),"January","February","March","April","May","June","July","August","September","October","November","December")</f>
        <v>February</v>
      </c>
      <c r="J26" s="55" t="s">
        <v>276</v>
      </c>
      <c r="K26" s="56">
        <v>57420</v>
      </c>
      <c r="L26" s="169">
        <v>1</v>
      </c>
    </row>
    <row r="27" spans="1:12" x14ac:dyDescent="0.25">
      <c r="A27" s="164" t="s">
        <v>385</v>
      </c>
      <c r="B27" s="164" t="s">
        <v>296</v>
      </c>
      <c r="C27" s="174" t="s">
        <v>245</v>
      </c>
      <c r="D27" s="173">
        <v>9196699611</v>
      </c>
      <c r="E27" s="172">
        <v>278431222</v>
      </c>
      <c r="F27" s="164" t="s">
        <v>256</v>
      </c>
      <c r="G27" s="171">
        <v>37621</v>
      </c>
      <c r="H27" s="54">
        <f ca="1">DATEDIF(G27,TODAY(),"Y")</f>
        <v>13</v>
      </c>
      <c r="I27" s="170" t="str">
        <f>CHOOSE(MONTH(G27),"January","February","March","April","May","June","July","August","September","October","November","December")</f>
        <v>December</v>
      </c>
      <c r="J27" s="55" t="s">
        <v>283</v>
      </c>
      <c r="K27" s="56">
        <v>40368</v>
      </c>
      <c r="L27" s="169">
        <v>3</v>
      </c>
    </row>
    <row r="28" spans="1:12" x14ac:dyDescent="0.25">
      <c r="A28" s="164" t="s">
        <v>972</v>
      </c>
      <c r="B28" s="164" t="s">
        <v>296</v>
      </c>
      <c r="C28" s="174" t="s">
        <v>245</v>
      </c>
      <c r="D28" s="173">
        <v>9196822349</v>
      </c>
      <c r="E28" s="172">
        <v>460412180</v>
      </c>
      <c r="F28" s="164" t="s">
        <v>256</v>
      </c>
      <c r="G28" s="171">
        <v>40834</v>
      </c>
      <c r="H28" s="54">
        <f ca="1">DATEDIF(G28,TODAY(),"Y")</f>
        <v>5</v>
      </c>
      <c r="I28" s="170" t="str">
        <f>CHOOSE(MONTH(G28),"January","February","March","April","May","June","July","August","September","October","November","December")</f>
        <v>October</v>
      </c>
      <c r="J28" s="55" t="s">
        <v>262</v>
      </c>
      <c r="K28" s="56">
        <v>61416</v>
      </c>
      <c r="L28" s="169">
        <v>3</v>
      </c>
    </row>
    <row r="29" spans="1:12" x14ac:dyDescent="0.25">
      <c r="A29" s="164" t="s">
        <v>547</v>
      </c>
      <c r="B29" s="164" t="s">
        <v>296</v>
      </c>
      <c r="C29" s="174" t="s">
        <v>271</v>
      </c>
      <c r="D29" s="173">
        <v>2528304204</v>
      </c>
      <c r="E29" s="172">
        <v>243350742</v>
      </c>
      <c r="F29" s="164" t="s">
        <v>252</v>
      </c>
      <c r="G29" s="171">
        <v>36402</v>
      </c>
      <c r="H29" s="54">
        <f ca="1">DATEDIF(G29,TODAY(),"Y")</f>
        <v>17</v>
      </c>
      <c r="I29" s="170" t="str">
        <f>CHOOSE(MONTH(G29),"January","February","March","April","May","June","July","August","September","October","November","December")</f>
        <v>August</v>
      </c>
      <c r="J29" s="55"/>
      <c r="K29" s="56">
        <v>24034</v>
      </c>
      <c r="L29" s="169">
        <v>4</v>
      </c>
    </row>
    <row r="30" spans="1:12" x14ac:dyDescent="0.25">
      <c r="A30" s="164" t="s">
        <v>343</v>
      </c>
      <c r="B30" s="164" t="s">
        <v>296</v>
      </c>
      <c r="C30" s="174" t="s">
        <v>271</v>
      </c>
      <c r="D30" s="173">
        <v>2521593705</v>
      </c>
      <c r="E30" s="172">
        <v>216607562</v>
      </c>
      <c r="F30" s="164" t="s">
        <v>256</v>
      </c>
      <c r="G30" s="171">
        <v>36187</v>
      </c>
      <c r="H30" s="54">
        <f ca="1">DATEDIF(G30,TODAY(),"Y")</f>
        <v>17</v>
      </c>
      <c r="I30" s="170" t="str">
        <f>CHOOSE(MONTH(G30),"January","February","March","April","May","June","July","August","September","October","November","December")</f>
        <v>January</v>
      </c>
      <c r="J30" s="55" t="s">
        <v>283</v>
      </c>
      <c r="K30" s="56">
        <v>59232</v>
      </c>
      <c r="L30" s="169">
        <v>2</v>
      </c>
    </row>
    <row r="31" spans="1:12" x14ac:dyDescent="0.25">
      <c r="A31" s="164" t="s">
        <v>389</v>
      </c>
      <c r="B31" s="164" t="s">
        <v>296</v>
      </c>
      <c r="C31" s="174" t="s">
        <v>245</v>
      </c>
      <c r="D31" s="173">
        <v>9193539483</v>
      </c>
      <c r="E31" s="172">
        <v>515543972</v>
      </c>
      <c r="F31" s="164" t="s">
        <v>256</v>
      </c>
      <c r="G31" s="171">
        <v>37347</v>
      </c>
      <c r="H31" s="54">
        <f ca="1">DATEDIF(G31,TODAY(),"Y")</f>
        <v>14</v>
      </c>
      <c r="I31" s="170" t="str">
        <f>CHOOSE(MONTH(G31),"January","February","March","April","May","June","July","August","September","October","November","December")</f>
        <v>April</v>
      </c>
      <c r="J31" s="55" t="s">
        <v>267</v>
      </c>
      <c r="K31" s="56">
        <v>67728</v>
      </c>
      <c r="L31" s="169">
        <v>1</v>
      </c>
    </row>
    <row r="32" spans="1:12" x14ac:dyDescent="0.25">
      <c r="A32" s="164" t="s">
        <v>571</v>
      </c>
      <c r="B32" s="164" t="s">
        <v>296</v>
      </c>
      <c r="C32" s="174" t="s">
        <v>251</v>
      </c>
      <c r="D32" s="173">
        <v>2527515181</v>
      </c>
      <c r="E32" s="172">
        <v>764375259</v>
      </c>
      <c r="F32" s="164" t="s">
        <v>256</v>
      </c>
      <c r="G32" s="171">
        <v>38779</v>
      </c>
      <c r="H32" s="54">
        <f ca="1">DATEDIF(G32,TODAY(),"Y")</f>
        <v>10</v>
      </c>
      <c r="I32" s="170" t="str">
        <f>CHOOSE(MONTH(G32),"January","February","March","April","May","June","July","August","September","October","November","December")</f>
        <v>March</v>
      </c>
      <c r="J32" s="55" t="s">
        <v>257</v>
      </c>
      <c r="K32" s="56">
        <v>36420</v>
      </c>
      <c r="L32" s="169">
        <v>1</v>
      </c>
    </row>
    <row r="33" spans="1:12" x14ac:dyDescent="0.25">
      <c r="A33" s="164" t="s">
        <v>843</v>
      </c>
      <c r="B33" s="164" t="s">
        <v>296</v>
      </c>
      <c r="C33" s="174" t="s">
        <v>245</v>
      </c>
      <c r="D33" s="173">
        <v>2525327906</v>
      </c>
      <c r="E33" s="172">
        <v>796079833</v>
      </c>
      <c r="F33" s="164" t="s">
        <v>261</v>
      </c>
      <c r="G33" s="171">
        <v>36292</v>
      </c>
      <c r="H33" s="54">
        <f ca="1">DATEDIF(G33,TODAY(),"Y")</f>
        <v>17</v>
      </c>
      <c r="I33" s="170" t="str">
        <f>CHOOSE(MONTH(G33),"January","February","March","April","May","June","July","August","September","October","November","December")</f>
        <v>May</v>
      </c>
      <c r="J33" s="55" t="s">
        <v>257</v>
      </c>
      <c r="K33" s="56">
        <v>13230</v>
      </c>
      <c r="L33" s="169">
        <v>1</v>
      </c>
    </row>
    <row r="34" spans="1:12" x14ac:dyDescent="0.25">
      <c r="A34" s="164" t="s">
        <v>1006</v>
      </c>
      <c r="B34" s="164" t="s">
        <v>307</v>
      </c>
      <c r="C34" s="174" t="s">
        <v>271</v>
      </c>
      <c r="D34" s="173">
        <v>9198085402</v>
      </c>
      <c r="E34" s="172">
        <v>601942708</v>
      </c>
      <c r="F34" s="164" t="s">
        <v>261</v>
      </c>
      <c r="G34" s="171">
        <v>40880</v>
      </c>
      <c r="H34" s="54">
        <f ca="1">DATEDIF(G34,TODAY(),"Y")</f>
        <v>4</v>
      </c>
      <c r="I34" s="170" t="str">
        <f>CHOOSE(MONTH(G34),"January","February","March","April","May","June","July","August","September","October","November","December")</f>
        <v>December</v>
      </c>
      <c r="J34" s="55" t="s">
        <v>283</v>
      </c>
      <c r="K34" s="56">
        <v>34416</v>
      </c>
      <c r="L34" s="169">
        <v>1</v>
      </c>
    </row>
    <row r="35" spans="1:12" x14ac:dyDescent="0.25">
      <c r="A35" s="164" t="s">
        <v>601</v>
      </c>
      <c r="B35" s="164" t="s">
        <v>307</v>
      </c>
      <c r="C35" s="174" t="s">
        <v>285</v>
      </c>
      <c r="D35" s="173">
        <v>2526169135</v>
      </c>
      <c r="E35" s="172">
        <v>534034571</v>
      </c>
      <c r="F35" s="164" t="s">
        <v>261</v>
      </c>
      <c r="G35" s="171">
        <v>40145</v>
      </c>
      <c r="H35" s="54">
        <f ca="1">DATEDIF(G35,TODAY(),"Y")</f>
        <v>6</v>
      </c>
      <c r="I35" s="170" t="str">
        <f>CHOOSE(MONTH(G35),"January","February","March","April","May","June","July","August","September","October","November","December")</f>
        <v>November</v>
      </c>
      <c r="J35" s="55" t="s">
        <v>267</v>
      </c>
      <c r="K35" s="56">
        <v>55314</v>
      </c>
      <c r="L35" s="169">
        <v>3</v>
      </c>
    </row>
    <row r="36" spans="1:12" x14ac:dyDescent="0.25">
      <c r="A36" s="164" t="s">
        <v>925</v>
      </c>
      <c r="B36" s="164" t="s">
        <v>307</v>
      </c>
      <c r="C36" s="174" t="s">
        <v>285</v>
      </c>
      <c r="D36" s="173">
        <v>9194603155</v>
      </c>
      <c r="E36" s="172">
        <v>682791418</v>
      </c>
      <c r="F36" s="164" t="s">
        <v>256</v>
      </c>
      <c r="G36" s="171">
        <v>34441</v>
      </c>
      <c r="H36" s="54">
        <f ca="1">DATEDIF(G36,TODAY(),"Y")</f>
        <v>22</v>
      </c>
      <c r="I36" s="170" t="str">
        <f>CHOOSE(MONTH(G36),"January","February","March","April","May","June","July","August","September","October","November","December")</f>
        <v>April</v>
      </c>
      <c r="J36" s="55" t="s">
        <v>257</v>
      </c>
      <c r="K36" s="56">
        <v>55464</v>
      </c>
      <c r="L36" s="169">
        <v>3</v>
      </c>
    </row>
    <row r="37" spans="1:12" x14ac:dyDescent="0.25">
      <c r="A37" s="164" t="s">
        <v>850</v>
      </c>
      <c r="B37" s="164" t="s">
        <v>307</v>
      </c>
      <c r="C37" s="174" t="s">
        <v>280</v>
      </c>
      <c r="D37" s="173">
        <v>2528006736</v>
      </c>
      <c r="E37" s="172">
        <v>529609767</v>
      </c>
      <c r="F37" s="164" t="s">
        <v>247</v>
      </c>
      <c r="G37" s="171">
        <v>36123</v>
      </c>
      <c r="H37" s="54">
        <f ca="1">DATEDIF(G37,TODAY(),"Y")</f>
        <v>17</v>
      </c>
      <c r="I37" s="170" t="str">
        <f>CHOOSE(MONTH(G37),"January","February","March","April","May","June","July","August","September","October","November","December")</f>
        <v>November</v>
      </c>
      <c r="J37" s="55"/>
      <c r="K37" s="56">
        <v>69756</v>
      </c>
      <c r="L37" s="169">
        <v>2</v>
      </c>
    </row>
    <row r="38" spans="1:12" x14ac:dyDescent="0.25">
      <c r="A38" s="164" t="s">
        <v>770</v>
      </c>
      <c r="B38" s="164" t="s">
        <v>312</v>
      </c>
      <c r="C38" s="174" t="s">
        <v>271</v>
      </c>
      <c r="D38" s="173">
        <v>2526101454</v>
      </c>
      <c r="E38" s="172">
        <v>627678686</v>
      </c>
      <c r="F38" s="164" t="s">
        <v>247</v>
      </c>
      <c r="G38" s="171">
        <v>36233</v>
      </c>
      <c r="H38" s="54">
        <f ca="1">DATEDIF(G38,TODAY(),"Y")</f>
        <v>17</v>
      </c>
      <c r="I38" s="170" t="str">
        <f>CHOOSE(MONTH(G38),"January","February","March","April","May","June","July","August","September","October","November","December")</f>
        <v>March</v>
      </c>
      <c r="J38" s="55"/>
      <c r="K38" s="56">
        <v>89688</v>
      </c>
      <c r="L38" s="169">
        <v>5</v>
      </c>
    </row>
    <row r="39" spans="1:12" x14ac:dyDescent="0.25">
      <c r="A39" s="164" t="s">
        <v>861</v>
      </c>
      <c r="B39" s="164" t="s">
        <v>312</v>
      </c>
      <c r="C39" s="174" t="s">
        <v>251</v>
      </c>
      <c r="D39" s="173">
        <v>9195511103</v>
      </c>
      <c r="E39" s="172">
        <v>877122222</v>
      </c>
      <c r="F39" s="164" t="s">
        <v>256</v>
      </c>
      <c r="G39" s="171">
        <v>41303</v>
      </c>
      <c r="H39" s="54">
        <f ca="1">DATEDIF(G39,TODAY(),"Y")</f>
        <v>3</v>
      </c>
      <c r="I39" s="170" t="str">
        <f>CHOOSE(MONTH(G39),"January","February","March","April","May","June","July","August","September","October","November","December")</f>
        <v>January</v>
      </c>
      <c r="J39" s="55" t="s">
        <v>276</v>
      </c>
      <c r="K39" s="56">
        <v>89652</v>
      </c>
      <c r="L39" s="169">
        <v>2</v>
      </c>
    </row>
    <row r="40" spans="1:12" x14ac:dyDescent="0.25">
      <c r="A40" s="164" t="s">
        <v>931</v>
      </c>
      <c r="B40" s="164" t="s">
        <v>312</v>
      </c>
      <c r="C40" s="174" t="s">
        <v>266</v>
      </c>
      <c r="D40" s="173">
        <v>2522339143</v>
      </c>
      <c r="E40" s="172">
        <v>964243524</v>
      </c>
      <c r="F40" s="164" t="s">
        <v>256</v>
      </c>
      <c r="G40" s="171">
        <v>35724</v>
      </c>
      <c r="H40" s="54">
        <f ca="1">DATEDIF(G40,TODAY(),"Y")</f>
        <v>19</v>
      </c>
      <c r="I40" s="170" t="str">
        <f>CHOOSE(MONTH(G40),"January","February","March","April","May","June","July","August","September","October","November","December")</f>
        <v>October</v>
      </c>
      <c r="J40" s="55" t="s">
        <v>257</v>
      </c>
      <c r="K40" s="56">
        <v>81468</v>
      </c>
      <c r="L40" s="169">
        <v>5</v>
      </c>
    </row>
    <row r="41" spans="1:12" x14ac:dyDescent="0.25">
      <c r="A41" s="164" t="s">
        <v>471</v>
      </c>
      <c r="B41" s="164" t="s">
        <v>312</v>
      </c>
      <c r="C41" s="174" t="s">
        <v>251</v>
      </c>
      <c r="D41" s="173">
        <v>2523542524</v>
      </c>
      <c r="E41" s="172">
        <v>344090854</v>
      </c>
      <c r="F41" s="164" t="s">
        <v>256</v>
      </c>
      <c r="G41" s="171">
        <v>35925</v>
      </c>
      <c r="H41" s="54">
        <f ca="1">DATEDIF(G41,TODAY(),"Y")</f>
        <v>18</v>
      </c>
      <c r="I41" s="170" t="str">
        <f>CHOOSE(MONTH(G41),"January","February","March","April","May","June","July","August","September","October","November","December")</f>
        <v>May</v>
      </c>
      <c r="J41" s="55" t="s">
        <v>276</v>
      </c>
      <c r="K41" s="56">
        <v>98544</v>
      </c>
      <c r="L41" s="169">
        <v>5</v>
      </c>
    </row>
    <row r="42" spans="1:12" x14ac:dyDescent="0.25">
      <c r="A42" s="164" t="s">
        <v>311</v>
      </c>
      <c r="B42" s="164" t="s">
        <v>312</v>
      </c>
      <c r="C42" s="174" t="s">
        <v>245</v>
      </c>
      <c r="D42" s="173">
        <v>9196299247</v>
      </c>
      <c r="E42" s="172">
        <v>126492342</v>
      </c>
      <c r="F42" s="164" t="s">
        <v>252</v>
      </c>
      <c r="G42" s="171">
        <v>36787</v>
      </c>
      <c r="H42" s="54">
        <f ca="1">DATEDIF(G42,TODAY(),"Y")</f>
        <v>16</v>
      </c>
      <c r="I42" s="170" t="str">
        <f>CHOOSE(MONTH(G42),"January","February","March","April","May","June","July","August","September","October","November","December")</f>
        <v>September</v>
      </c>
      <c r="J42" s="55"/>
      <c r="K42" s="56">
        <v>22200</v>
      </c>
      <c r="L42" s="169">
        <v>5</v>
      </c>
    </row>
    <row r="43" spans="1:12" x14ac:dyDescent="0.25">
      <c r="A43" s="164" t="s">
        <v>864</v>
      </c>
      <c r="B43" s="164" t="s">
        <v>312</v>
      </c>
      <c r="C43" s="174" t="s">
        <v>285</v>
      </c>
      <c r="D43" s="173">
        <v>2523962015</v>
      </c>
      <c r="E43" s="172">
        <v>496260023</v>
      </c>
      <c r="F43" s="164" t="s">
        <v>256</v>
      </c>
      <c r="G43" s="171">
        <v>35202</v>
      </c>
      <c r="H43" s="54">
        <f ca="1">DATEDIF(G43,TODAY(),"Y")</f>
        <v>20</v>
      </c>
      <c r="I43" s="170" t="str">
        <f>CHOOSE(MONTH(G43),"January","February","March","April","May","June","July","August","September","October","November","December")</f>
        <v>May</v>
      </c>
      <c r="J43" s="55" t="s">
        <v>262</v>
      </c>
      <c r="K43" s="56">
        <v>89604</v>
      </c>
      <c r="L43" s="169">
        <v>5</v>
      </c>
    </row>
    <row r="44" spans="1:12" x14ac:dyDescent="0.25">
      <c r="A44" s="164" t="s">
        <v>866</v>
      </c>
      <c r="B44" s="164" t="s">
        <v>312</v>
      </c>
      <c r="C44" s="174" t="s">
        <v>245</v>
      </c>
      <c r="D44" s="173">
        <v>2524588703</v>
      </c>
      <c r="E44" s="172">
        <v>787156286</v>
      </c>
      <c r="F44" s="164" t="s">
        <v>256</v>
      </c>
      <c r="G44" s="171">
        <v>34076</v>
      </c>
      <c r="H44" s="54">
        <f ca="1">DATEDIF(G44,TODAY(),"Y")</f>
        <v>23</v>
      </c>
      <c r="I44" s="170" t="str">
        <f>CHOOSE(MONTH(G44),"January","February","March","April","May","June","July","August","September","October","November","December")</f>
        <v>April</v>
      </c>
      <c r="J44" s="55" t="s">
        <v>276</v>
      </c>
      <c r="K44" s="56">
        <v>59772</v>
      </c>
      <c r="L44" s="169">
        <v>2</v>
      </c>
    </row>
    <row r="45" spans="1:12" x14ac:dyDescent="0.25">
      <c r="A45" s="164" t="s">
        <v>630</v>
      </c>
      <c r="B45" s="164" t="s">
        <v>312</v>
      </c>
      <c r="C45" s="174" t="s">
        <v>271</v>
      </c>
      <c r="D45" s="173">
        <v>2524734960</v>
      </c>
      <c r="E45" s="172">
        <v>148899089</v>
      </c>
      <c r="F45" s="164" t="s">
        <v>261</v>
      </c>
      <c r="G45" s="171">
        <v>34894</v>
      </c>
      <c r="H45" s="54">
        <f ca="1">DATEDIF(G45,TODAY(),"Y")</f>
        <v>21</v>
      </c>
      <c r="I45" s="170" t="str">
        <f>CHOOSE(MONTH(G45),"January","February","March","April","May","June","July","August","September","October","November","December")</f>
        <v>July</v>
      </c>
      <c r="J45" s="55" t="s">
        <v>257</v>
      </c>
      <c r="K45" s="56">
        <v>32268</v>
      </c>
      <c r="L45" s="169">
        <v>3</v>
      </c>
    </row>
    <row r="46" spans="1:12" x14ac:dyDescent="0.25">
      <c r="A46" s="164" t="s">
        <v>682</v>
      </c>
      <c r="B46" s="164" t="s">
        <v>312</v>
      </c>
      <c r="C46" s="174" t="s">
        <v>271</v>
      </c>
      <c r="D46" s="173">
        <v>2524077699</v>
      </c>
      <c r="E46" s="172">
        <v>436693732</v>
      </c>
      <c r="F46" s="164" t="s">
        <v>256</v>
      </c>
      <c r="G46" s="171">
        <v>37904</v>
      </c>
      <c r="H46" s="54">
        <f ca="1">DATEDIF(G46,TODAY(),"Y")</f>
        <v>13</v>
      </c>
      <c r="I46" s="170" t="str">
        <f>CHOOSE(MONTH(G46),"January","February","March","April","May","June","July","August","September","October","November","December")</f>
        <v>October</v>
      </c>
      <c r="J46" s="55" t="s">
        <v>267</v>
      </c>
      <c r="K46" s="56">
        <v>75348</v>
      </c>
      <c r="L46" s="169">
        <v>2</v>
      </c>
    </row>
    <row r="47" spans="1:12" x14ac:dyDescent="0.25">
      <c r="A47" s="175" t="s">
        <v>275</v>
      </c>
      <c r="B47" s="164" t="s">
        <v>312</v>
      </c>
      <c r="C47" s="174" t="s">
        <v>280</v>
      </c>
      <c r="D47" s="173">
        <v>2522005810</v>
      </c>
      <c r="E47" s="172">
        <v>163292583</v>
      </c>
      <c r="F47" s="164" t="s">
        <v>247</v>
      </c>
      <c r="G47" s="171">
        <v>36766</v>
      </c>
      <c r="H47" s="54">
        <f ca="1">DATEDIF(G47,TODAY(),"Y")</f>
        <v>16</v>
      </c>
      <c r="I47" s="170" t="str">
        <f>CHOOSE(MONTH(G47),"January","February","March","April","May","June","July","August","September","October","November","December")</f>
        <v>August</v>
      </c>
      <c r="J47" s="55"/>
      <c r="K47" s="56">
        <v>36408</v>
      </c>
      <c r="L47" s="169">
        <v>3</v>
      </c>
    </row>
    <row r="48" spans="1:12" x14ac:dyDescent="0.25">
      <c r="A48" s="164" t="s">
        <v>779</v>
      </c>
      <c r="B48" s="164" t="s">
        <v>312</v>
      </c>
      <c r="C48" s="174" t="s">
        <v>285</v>
      </c>
      <c r="D48" s="173">
        <v>2521391475</v>
      </c>
      <c r="E48" s="172">
        <v>129397083</v>
      </c>
      <c r="F48" s="164" t="s">
        <v>256</v>
      </c>
      <c r="G48" s="171">
        <v>41324</v>
      </c>
      <c r="H48" s="54">
        <f ca="1">DATEDIF(G48,TODAY(),"Y")</f>
        <v>3</v>
      </c>
      <c r="I48" s="170" t="str">
        <f>CHOOSE(MONTH(G48),"January","February","March","April","May","June","July","August","September","October","November","December")</f>
        <v>February</v>
      </c>
      <c r="J48" s="55" t="s">
        <v>267</v>
      </c>
      <c r="K48" s="56">
        <v>82692</v>
      </c>
      <c r="L48" s="169">
        <v>5</v>
      </c>
    </row>
    <row r="49" spans="1:12" x14ac:dyDescent="0.25">
      <c r="A49" s="164" t="s">
        <v>781</v>
      </c>
      <c r="B49" s="164" t="s">
        <v>312</v>
      </c>
      <c r="C49" s="174" t="s">
        <v>285</v>
      </c>
      <c r="D49" s="173">
        <v>9195993367</v>
      </c>
      <c r="E49" s="172">
        <v>768215237</v>
      </c>
      <c r="F49" s="164" t="s">
        <v>261</v>
      </c>
      <c r="G49" s="171">
        <v>34200</v>
      </c>
      <c r="H49" s="54">
        <f ca="1">DATEDIF(G49,TODAY(),"Y")</f>
        <v>23</v>
      </c>
      <c r="I49" s="170" t="str">
        <f>CHOOSE(MONTH(G49),"January","February","March","April","May","June","July","August","September","October","November","December")</f>
        <v>August</v>
      </c>
      <c r="J49" s="55" t="s">
        <v>262</v>
      </c>
      <c r="K49" s="56">
        <v>16560</v>
      </c>
      <c r="L49" s="169">
        <v>3</v>
      </c>
    </row>
    <row r="50" spans="1:12" x14ac:dyDescent="0.25">
      <c r="A50" s="164" t="s">
        <v>619</v>
      </c>
      <c r="B50" s="164" t="s">
        <v>312</v>
      </c>
      <c r="C50" s="174" t="s">
        <v>245</v>
      </c>
      <c r="D50" s="173">
        <v>2522511732</v>
      </c>
      <c r="E50" s="172">
        <v>841913875</v>
      </c>
      <c r="F50" s="164" t="s">
        <v>247</v>
      </c>
      <c r="G50" s="171">
        <v>35888</v>
      </c>
      <c r="H50" s="54">
        <f ca="1">DATEDIF(G50,TODAY(),"Y")</f>
        <v>18</v>
      </c>
      <c r="I50" s="170" t="str">
        <f>CHOOSE(MONTH(G50),"January","February","March","April","May","June","July","August","September","October","November","December")</f>
        <v>April</v>
      </c>
      <c r="J50" s="55"/>
      <c r="K50" s="56">
        <v>60660</v>
      </c>
      <c r="L50" s="169">
        <v>2</v>
      </c>
    </row>
    <row r="51" spans="1:12" x14ac:dyDescent="0.25">
      <c r="A51" s="164" t="s">
        <v>939</v>
      </c>
      <c r="B51" s="164" t="s">
        <v>312</v>
      </c>
      <c r="C51" s="174" t="s">
        <v>266</v>
      </c>
      <c r="D51" s="173">
        <v>9193825834</v>
      </c>
      <c r="E51" s="172">
        <v>267218084</v>
      </c>
      <c r="F51" s="164" t="s">
        <v>247</v>
      </c>
      <c r="G51" s="171">
        <v>36668</v>
      </c>
      <c r="H51" s="54">
        <f ca="1">DATEDIF(G51,TODAY(),"Y")</f>
        <v>16</v>
      </c>
      <c r="I51" s="170" t="str">
        <f>CHOOSE(MONTH(G51),"January","February","March","April","May","June","July","August","September","October","November","December")</f>
        <v>May</v>
      </c>
      <c r="J51" s="55"/>
      <c r="K51" s="56">
        <v>105600</v>
      </c>
      <c r="L51" s="169">
        <v>5</v>
      </c>
    </row>
    <row r="52" spans="1:12" x14ac:dyDescent="0.25">
      <c r="A52" s="164" t="s">
        <v>309</v>
      </c>
      <c r="B52" s="164" t="s">
        <v>312</v>
      </c>
      <c r="C52" s="174" t="s">
        <v>285</v>
      </c>
      <c r="D52" s="173">
        <v>2526168483</v>
      </c>
      <c r="E52" s="172">
        <v>856215418</v>
      </c>
      <c r="F52" s="164" t="s">
        <v>252</v>
      </c>
      <c r="G52" s="171">
        <v>37330</v>
      </c>
      <c r="H52" s="54">
        <f ca="1">DATEDIF(G52,TODAY(),"Y")</f>
        <v>14</v>
      </c>
      <c r="I52" s="170" t="str">
        <f>CHOOSE(MONTH(G52),"January","February","March","April","May","June","July","August","September","October","November","December")</f>
        <v>March</v>
      </c>
      <c r="J52" s="55"/>
      <c r="K52" s="56">
        <v>36096</v>
      </c>
      <c r="L52" s="169">
        <v>3</v>
      </c>
    </row>
    <row r="53" spans="1:12" x14ac:dyDescent="0.25">
      <c r="A53" s="164" t="s">
        <v>870</v>
      </c>
      <c r="B53" s="164" t="s">
        <v>312</v>
      </c>
      <c r="C53" s="174" t="s">
        <v>271</v>
      </c>
      <c r="D53" s="173">
        <v>2527491979</v>
      </c>
      <c r="E53" s="172">
        <v>631405285</v>
      </c>
      <c r="F53" s="164" t="s">
        <v>256</v>
      </c>
      <c r="G53" s="171">
        <v>34255</v>
      </c>
      <c r="H53" s="54">
        <f ca="1">DATEDIF(G53,TODAY(),"Y")</f>
        <v>23</v>
      </c>
      <c r="I53" s="170" t="str">
        <f>CHOOSE(MONTH(G53),"January","February","March","April","May","June","July","August","September","October","November","December")</f>
        <v>October</v>
      </c>
      <c r="J53" s="55" t="s">
        <v>283</v>
      </c>
      <c r="K53" s="56">
        <v>103104</v>
      </c>
      <c r="L53" s="169">
        <v>4</v>
      </c>
    </row>
    <row r="54" spans="1:12" x14ac:dyDescent="0.25">
      <c r="A54" s="164" t="s">
        <v>371</v>
      </c>
      <c r="B54" s="164" t="s">
        <v>312</v>
      </c>
      <c r="C54" s="174" t="s">
        <v>245</v>
      </c>
      <c r="D54" s="173">
        <v>9197528456</v>
      </c>
      <c r="E54" s="172">
        <v>580960042</v>
      </c>
      <c r="F54" s="164" t="s">
        <v>247</v>
      </c>
      <c r="G54" s="171">
        <v>39768</v>
      </c>
      <c r="H54" s="54">
        <f ca="1">DATEDIF(G54,TODAY(),"Y")</f>
        <v>7</v>
      </c>
      <c r="I54" s="170" t="str">
        <f>CHOOSE(MONTH(G54),"January","February","March","April","May","June","July","August","September","October","November","December")</f>
        <v>November</v>
      </c>
      <c r="J54" s="55"/>
      <c r="K54" s="56">
        <v>74580</v>
      </c>
      <c r="L54" s="169">
        <v>4</v>
      </c>
    </row>
    <row r="55" spans="1:12" x14ac:dyDescent="0.25">
      <c r="A55" s="164" t="s">
        <v>496</v>
      </c>
      <c r="B55" s="164" t="s">
        <v>312</v>
      </c>
      <c r="C55" s="174" t="s">
        <v>285</v>
      </c>
      <c r="D55" s="173">
        <v>2528046670</v>
      </c>
      <c r="E55" s="172">
        <v>164904130</v>
      </c>
      <c r="F55" s="164" t="s">
        <v>247</v>
      </c>
      <c r="G55" s="171">
        <v>36297</v>
      </c>
      <c r="H55" s="54">
        <f ca="1">DATEDIF(G55,TODAY(),"Y")</f>
        <v>17</v>
      </c>
      <c r="I55" s="170" t="str">
        <f>CHOOSE(MONTH(G55),"January","February","March","April","May","June","July","August","September","October","November","December")</f>
        <v>May</v>
      </c>
      <c r="J55" s="55"/>
      <c r="K55" s="56">
        <v>101040</v>
      </c>
      <c r="L55" s="169">
        <v>2</v>
      </c>
    </row>
    <row r="56" spans="1:12" x14ac:dyDescent="0.25">
      <c r="A56" s="164" t="s">
        <v>941</v>
      </c>
      <c r="B56" s="164" t="s">
        <v>312</v>
      </c>
      <c r="C56" s="174" t="s">
        <v>285</v>
      </c>
      <c r="D56" s="173">
        <v>9197713771</v>
      </c>
      <c r="E56" s="172">
        <v>653843221</v>
      </c>
      <c r="F56" s="164" t="s">
        <v>247</v>
      </c>
      <c r="G56" s="171">
        <v>40687</v>
      </c>
      <c r="H56" s="54">
        <f ca="1">DATEDIF(G56,TODAY(),"Y")</f>
        <v>5</v>
      </c>
      <c r="I56" s="170" t="str">
        <f>CHOOSE(MONTH(G56),"January","February","March","April","May","June","July","August","September","October","November","December")</f>
        <v>May</v>
      </c>
      <c r="J56" s="55"/>
      <c r="K56" s="56">
        <v>95352</v>
      </c>
      <c r="L56" s="169">
        <v>5</v>
      </c>
    </row>
    <row r="57" spans="1:12" x14ac:dyDescent="0.25">
      <c r="A57" s="164" t="s">
        <v>319</v>
      </c>
      <c r="B57" s="164" t="s">
        <v>312</v>
      </c>
      <c r="C57" s="174" t="s">
        <v>285</v>
      </c>
      <c r="D57" s="173">
        <v>9193274978</v>
      </c>
      <c r="E57" s="172">
        <v>644862142</v>
      </c>
      <c r="F57" s="164" t="s">
        <v>247</v>
      </c>
      <c r="G57" s="171">
        <v>35379</v>
      </c>
      <c r="H57" s="54">
        <f ca="1">DATEDIF(G57,TODAY(),"Y")</f>
        <v>19</v>
      </c>
      <c r="I57" s="170" t="str">
        <f>CHOOSE(MONTH(G57),"January","February","March","April","May","June","July","August","September","October","November","December")</f>
        <v>November</v>
      </c>
      <c r="J57" s="55"/>
      <c r="K57" s="56">
        <v>56004</v>
      </c>
      <c r="L57" s="169">
        <v>3</v>
      </c>
    </row>
    <row r="58" spans="1:12" x14ac:dyDescent="0.25">
      <c r="A58" s="164" t="s">
        <v>636</v>
      </c>
      <c r="B58" s="164" t="s">
        <v>312</v>
      </c>
      <c r="C58" s="174" t="s">
        <v>285</v>
      </c>
      <c r="D58" s="173">
        <v>2526396432</v>
      </c>
      <c r="E58" s="172">
        <v>667812117</v>
      </c>
      <c r="F58" s="164" t="s">
        <v>256</v>
      </c>
      <c r="G58" s="171">
        <v>34474</v>
      </c>
      <c r="H58" s="54">
        <f ca="1">DATEDIF(G58,TODAY(),"Y")</f>
        <v>22</v>
      </c>
      <c r="I58" s="170" t="str">
        <f>CHOOSE(MONTH(G58),"January","February","March","April","May","June","July","August","September","October","November","December")</f>
        <v>May</v>
      </c>
      <c r="J58" s="55" t="s">
        <v>262</v>
      </c>
      <c r="K58" s="56">
        <v>38196</v>
      </c>
      <c r="L58" s="169">
        <v>3</v>
      </c>
    </row>
    <row r="59" spans="1:12" x14ac:dyDescent="0.25">
      <c r="A59" s="164" t="s">
        <v>877</v>
      </c>
      <c r="B59" s="164" t="s">
        <v>312</v>
      </c>
      <c r="C59" s="174" t="s">
        <v>271</v>
      </c>
      <c r="D59" s="173">
        <v>9192121334</v>
      </c>
      <c r="E59" s="172">
        <v>831188207</v>
      </c>
      <c r="F59" s="164" t="s">
        <v>256</v>
      </c>
      <c r="G59" s="171">
        <v>37969</v>
      </c>
      <c r="H59" s="54">
        <f ca="1">DATEDIF(G59,TODAY(),"Y")</f>
        <v>12</v>
      </c>
      <c r="I59" s="170" t="str">
        <f>CHOOSE(MONTH(G59),"January","February","March","April","May","June","July","August","September","October","November","December")</f>
        <v>December</v>
      </c>
      <c r="J59" s="55" t="s">
        <v>257</v>
      </c>
      <c r="K59" s="56">
        <v>86340</v>
      </c>
      <c r="L59" s="169">
        <v>5</v>
      </c>
    </row>
    <row r="60" spans="1:12" x14ac:dyDescent="0.25">
      <c r="A60" s="164" t="s">
        <v>716</v>
      </c>
      <c r="B60" s="164" t="s">
        <v>312</v>
      </c>
      <c r="C60" s="174" t="s">
        <v>271</v>
      </c>
      <c r="D60" s="173">
        <v>9197692593</v>
      </c>
      <c r="E60" s="172">
        <v>147261161</v>
      </c>
      <c r="F60" s="164" t="s">
        <v>256</v>
      </c>
      <c r="G60" s="171">
        <v>35560</v>
      </c>
      <c r="H60" s="54">
        <f ca="1">DATEDIF(G60,TODAY(),"Y")</f>
        <v>19</v>
      </c>
      <c r="I60" s="170" t="str">
        <f>CHOOSE(MONTH(G60),"January","February","March","April","May","June","July","August","September","October","November","December")</f>
        <v>May</v>
      </c>
      <c r="J60" s="55" t="s">
        <v>257</v>
      </c>
      <c r="K60" s="56">
        <v>38292</v>
      </c>
      <c r="L60" s="169">
        <v>5</v>
      </c>
    </row>
    <row r="61" spans="1:12" x14ac:dyDescent="0.25">
      <c r="A61" s="164" t="s">
        <v>796</v>
      </c>
      <c r="B61" s="164" t="s">
        <v>312</v>
      </c>
      <c r="C61" s="174" t="s">
        <v>285</v>
      </c>
      <c r="D61" s="173">
        <v>9198314799</v>
      </c>
      <c r="E61" s="172">
        <v>333947685</v>
      </c>
      <c r="F61" s="164" t="s">
        <v>256</v>
      </c>
      <c r="G61" s="171">
        <v>38076</v>
      </c>
      <c r="H61" s="54">
        <f ca="1">DATEDIF(G61,TODAY(),"Y")</f>
        <v>12</v>
      </c>
      <c r="I61" s="170" t="str">
        <f>CHOOSE(MONTH(G61),"January","February","March","April","May","June","July","August","September","October","November","December")</f>
        <v>March</v>
      </c>
      <c r="J61" s="55" t="s">
        <v>262</v>
      </c>
      <c r="K61" s="56">
        <v>103056</v>
      </c>
      <c r="L61" s="169">
        <v>3</v>
      </c>
    </row>
    <row r="62" spans="1:12" x14ac:dyDescent="0.25">
      <c r="A62" s="164" t="s">
        <v>797</v>
      </c>
      <c r="B62" s="164" t="s">
        <v>312</v>
      </c>
      <c r="C62" s="174" t="s">
        <v>285</v>
      </c>
      <c r="D62" s="173">
        <v>9191362796</v>
      </c>
      <c r="E62" s="172">
        <v>427811310</v>
      </c>
      <c r="F62" s="164" t="s">
        <v>247</v>
      </c>
      <c r="G62" s="171">
        <v>39635</v>
      </c>
      <c r="H62" s="54">
        <f ca="1">DATEDIF(G62,TODAY(),"Y")</f>
        <v>8</v>
      </c>
      <c r="I62" s="170" t="str">
        <f>CHOOSE(MONTH(G62),"January","February","March","April","May","June","July","August","September","October","November","December")</f>
        <v>July</v>
      </c>
      <c r="J62" s="55"/>
      <c r="K62" s="56">
        <v>107172</v>
      </c>
      <c r="L62" s="169">
        <v>5</v>
      </c>
    </row>
    <row r="63" spans="1:12" x14ac:dyDescent="0.25">
      <c r="A63" s="164" t="s">
        <v>800</v>
      </c>
      <c r="B63" s="164" t="s">
        <v>312</v>
      </c>
      <c r="C63" s="174" t="s">
        <v>245</v>
      </c>
      <c r="D63" s="173">
        <v>9196252690</v>
      </c>
      <c r="E63" s="172">
        <v>415228597</v>
      </c>
      <c r="F63" s="164" t="s">
        <v>256</v>
      </c>
      <c r="G63" s="171">
        <v>36395</v>
      </c>
      <c r="H63" s="54">
        <f ca="1">DATEDIF(G63,TODAY(),"Y")</f>
        <v>17</v>
      </c>
      <c r="I63" s="170" t="str">
        <f>CHOOSE(MONTH(G63),"January","February","March","April","May","June","July","August","September","October","November","December")</f>
        <v>August</v>
      </c>
      <c r="J63" s="55" t="s">
        <v>257</v>
      </c>
      <c r="K63" s="56">
        <v>49104</v>
      </c>
      <c r="L63" s="169">
        <v>4</v>
      </c>
    </row>
    <row r="64" spans="1:12" x14ac:dyDescent="0.25">
      <c r="A64" s="164" t="s">
        <v>522</v>
      </c>
      <c r="B64" s="164" t="s">
        <v>312</v>
      </c>
      <c r="C64" s="174" t="s">
        <v>285</v>
      </c>
      <c r="D64" s="173">
        <v>2528611970</v>
      </c>
      <c r="E64" s="172">
        <v>870106287</v>
      </c>
      <c r="F64" s="164" t="s">
        <v>261</v>
      </c>
      <c r="G64" s="171">
        <v>35276</v>
      </c>
      <c r="H64" s="54">
        <f ca="1">DATEDIF(G64,TODAY(),"Y")</f>
        <v>20</v>
      </c>
      <c r="I64" s="170" t="str">
        <f>CHOOSE(MONTH(G64),"January","February","March","April","May","June","July","August","September","October","November","December")</f>
        <v>July</v>
      </c>
      <c r="J64" s="55" t="s">
        <v>276</v>
      </c>
      <c r="K64" s="56">
        <v>46704</v>
      </c>
      <c r="L64" s="169">
        <v>4</v>
      </c>
    </row>
    <row r="65" spans="1:12" x14ac:dyDescent="0.25">
      <c r="A65" s="164" t="s">
        <v>802</v>
      </c>
      <c r="B65" s="164" t="s">
        <v>312</v>
      </c>
      <c r="C65" s="174" t="s">
        <v>266</v>
      </c>
      <c r="D65" s="173">
        <v>9197280453</v>
      </c>
      <c r="E65" s="172">
        <v>600458368</v>
      </c>
      <c r="F65" s="164" t="s">
        <v>261</v>
      </c>
      <c r="G65" s="171">
        <v>40530</v>
      </c>
      <c r="H65" s="54">
        <f ca="1">DATEDIF(G65,TODAY(),"Y")</f>
        <v>5</v>
      </c>
      <c r="I65" s="170" t="str">
        <f>CHOOSE(MONTH(G65),"January","February","March","April","May","June","July","August","September","October","November","December")</f>
        <v>December</v>
      </c>
      <c r="J65" s="55" t="s">
        <v>276</v>
      </c>
      <c r="K65" s="56">
        <v>27042</v>
      </c>
      <c r="L65" s="169">
        <v>3</v>
      </c>
    </row>
    <row r="66" spans="1:12" x14ac:dyDescent="0.25">
      <c r="A66" s="164" t="s">
        <v>961</v>
      </c>
      <c r="B66" s="164" t="s">
        <v>312</v>
      </c>
      <c r="C66" s="174" t="s">
        <v>245</v>
      </c>
      <c r="D66" s="173">
        <v>2528356334</v>
      </c>
      <c r="E66" s="172">
        <v>721173550</v>
      </c>
      <c r="F66" s="164" t="s">
        <v>256</v>
      </c>
      <c r="G66" s="171">
        <v>34514</v>
      </c>
      <c r="H66" s="54">
        <f ca="1">DATEDIF(G66,TODAY(),"Y")</f>
        <v>22</v>
      </c>
      <c r="I66" s="170" t="str">
        <f>CHOOSE(MONTH(G66),"January","February","March","April","May","June","July","August","September","October","November","December")</f>
        <v>June</v>
      </c>
      <c r="J66" s="55" t="s">
        <v>257</v>
      </c>
      <c r="K66" s="56">
        <v>85380</v>
      </c>
      <c r="L66" s="169">
        <v>2</v>
      </c>
    </row>
    <row r="67" spans="1:12" x14ac:dyDescent="0.25">
      <c r="A67" s="164" t="s">
        <v>329</v>
      </c>
      <c r="B67" s="164" t="s">
        <v>312</v>
      </c>
      <c r="C67" s="174" t="s">
        <v>245</v>
      </c>
      <c r="D67" s="173">
        <v>9194980674</v>
      </c>
      <c r="E67" s="172">
        <v>393393249</v>
      </c>
      <c r="F67" s="164" t="s">
        <v>247</v>
      </c>
      <c r="G67" s="171">
        <v>37198</v>
      </c>
      <c r="H67" s="54">
        <f ca="1">DATEDIF(G67,TODAY(),"Y")</f>
        <v>15</v>
      </c>
      <c r="I67" s="170" t="str">
        <f>CHOOSE(MONTH(G67),"January","February","March","April","May","June","July","August","September","October","November","December")</f>
        <v>November</v>
      </c>
      <c r="J67" s="55"/>
      <c r="K67" s="56">
        <v>28272</v>
      </c>
      <c r="L67" s="169">
        <v>3</v>
      </c>
    </row>
    <row r="68" spans="1:12" x14ac:dyDescent="0.25">
      <c r="A68" s="164" t="s">
        <v>963</v>
      </c>
      <c r="B68" s="164" t="s">
        <v>312</v>
      </c>
      <c r="C68" s="174" t="s">
        <v>251</v>
      </c>
      <c r="D68" s="173">
        <v>9192400511</v>
      </c>
      <c r="E68" s="172">
        <v>403504590</v>
      </c>
      <c r="F68" s="164" t="s">
        <v>247</v>
      </c>
      <c r="G68" s="171">
        <v>34406</v>
      </c>
      <c r="H68" s="54">
        <f ca="1">DATEDIF(G68,TODAY(),"Y")</f>
        <v>22</v>
      </c>
      <c r="I68" s="170" t="str">
        <f>CHOOSE(MONTH(G68),"January","February","March","April","May","June","July","August","September","October","November","December")</f>
        <v>March</v>
      </c>
      <c r="J68" s="55"/>
      <c r="K68" s="56">
        <v>77352</v>
      </c>
      <c r="L68" s="169">
        <v>1</v>
      </c>
    </row>
    <row r="69" spans="1:12" x14ac:dyDescent="0.25">
      <c r="A69" s="164" t="s">
        <v>887</v>
      </c>
      <c r="B69" s="164" t="s">
        <v>312</v>
      </c>
      <c r="C69" s="174" t="s">
        <v>285</v>
      </c>
      <c r="D69" s="173">
        <v>9194629972</v>
      </c>
      <c r="E69" s="172">
        <v>349979288</v>
      </c>
      <c r="F69" s="164" t="s">
        <v>256</v>
      </c>
      <c r="G69" s="171">
        <v>37746</v>
      </c>
      <c r="H69" s="54">
        <f ca="1">DATEDIF(G69,TODAY(),"Y")</f>
        <v>13</v>
      </c>
      <c r="I69" s="170" t="str">
        <f>CHOOSE(MONTH(G69),"January","February","March","April","May","June","July","August","September","October","November","December")</f>
        <v>May</v>
      </c>
      <c r="J69" s="55" t="s">
        <v>283</v>
      </c>
      <c r="K69" s="56">
        <v>34380</v>
      </c>
      <c r="L69" s="169">
        <v>4</v>
      </c>
    </row>
    <row r="70" spans="1:12" x14ac:dyDescent="0.25">
      <c r="A70" s="164" t="s">
        <v>968</v>
      </c>
      <c r="B70" s="164" t="s">
        <v>312</v>
      </c>
      <c r="C70" s="174" t="s">
        <v>266</v>
      </c>
      <c r="D70" s="173">
        <v>2528317543</v>
      </c>
      <c r="E70" s="172">
        <v>867671341</v>
      </c>
      <c r="F70" s="164" t="s">
        <v>261</v>
      </c>
      <c r="G70" s="171">
        <v>37624</v>
      </c>
      <c r="H70" s="54">
        <f ca="1">DATEDIF(G70,TODAY(),"Y")</f>
        <v>13</v>
      </c>
      <c r="I70" s="170" t="str">
        <f>CHOOSE(MONTH(G70),"January","February","March","April","May","June","July","August","September","October","November","December")</f>
        <v>January</v>
      </c>
      <c r="J70" s="55" t="s">
        <v>257</v>
      </c>
      <c r="K70" s="56">
        <v>42336</v>
      </c>
      <c r="L70" s="169">
        <v>3</v>
      </c>
    </row>
    <row r="71" spans="1:12" x14ac:dyDescent="0.25">
      <c r="A71" s="164" t="s">
        <v>811</v>
      </c>
      <c r="B71" s="164" t="s">
        <v>312</v>
      </c>
      <c r="C71" s="174" t="s">
        <v>271</v>
      </c>
      <c r="D71" s="173">
        <v>9191919478</v>
      </c>
      <c r="E71" s="172">
        <v>639314672</v>
      </c>
      <c r="F71" s="164" t="s">
        <v>261</v>
      </c>
      <c r="G71" s="171">
        <v>36570</v>
      </c>
      <c r="H71" s="54">
        <f ca="1">DATEDIF(G71,TODAY(),"Y")</f>
        <v>16</v>
      </c>
      <c r="I71" s="170" t="str">
        <f>CHOOSE(MONTH(G71),"January","February","March","April","May","June","July","August","September","October","November","December")</f>
        <v>February</v>
      </c>
      <c r="J71" s="55" t="s">
        <v>276</v>
      </c>
      <c r="K71" s="56">
        <v>28056</v>
      </c>
      <c r="L71" s="169">
        <v>4</v>
      </c>
    </row>
    <row r="72" spans="1:12" x14ac:dyDescent="0.25">
      <c r="A72" s="164" t="s">
        <v>647</v>
      </c>
      <c r="B72" s="164" t="s">
        <v>312</v>
      </c>
      <c r="C72" s="174" t="s">
        <v>285</v>
      </c>
      <c r="D72" s="173">
        <v>2524936058</v>
      </c>
      <c r="E72" s="172">
        <v>951516517</v>
      </c>
      <c r="F72" s="164" t="s">
        <v>256</v>
      </c>
      <c r="G72" s="171">
        <v>34623</v>
      </c>
      <c r="H72" s="54">
        <f ca="1">DATEDIF(G72,TODAY(),"Y")</f>
        <v>22</v>
      </c>
      <c r="I72" s="170" t="str">
        <f>CHOOSE(MONTH(G72),"January","February","March","April","May","June","July","August","September","October","November","December")</f>
        <v>October</v>
      </c>
      <c r="J72" s="55" t="s">
        <v>283</v>
      </c>
      <c r="K72" s="56">
        <v>86004</v>
      </c>
      <c r="L72" s="169">
        <v>4</v>
      </c>
    </row>
    <row r="73" spans="1:12" x14ac:dyDescent="0.25">
      <c r="A73" s="164" t="s">
        <v>893</v>
      </c>
      <c r="B73" s="164" t="s">
        <v>312</v>
      </c>
      <c r="C73" s="174" t="s">
        <v>285</v>
      </c>
      <c r="D73" s="173">
        <v>2523883919</v>
      </c>
      <c r="E73" s="172">
        <v>411058865</v>
      </c>
      <c r="F73" s="164" t="s">
        <v>256</v>
      </c>
      <c r="G73" s="171">
        <v>37736</v>
      </c>
      <c r="H73" s="54">
        <f ca="1">DATEDIF(G73,TODAY(),"Y")</f>
        <v>13</v>
      </c>
      <c r="I73" s="170" t="str">
        <f>CHOOSE(MONTH(G73),"January","February","March","April","May","June","July","August","September","October","November","December")</f>
        <v>April</v>
      </c>
      <c r="J73" s="55" t="s">
        <v>257</v>
      </c>
      <c r="K73" s="56">
        <v>32616</v>
      </c>
      <c r="L73" s="169">
        <v>4</v>
      </c>
    </row>
    <row r="74" spans="1:12" x14ac:dyDescent="0.25">
      <c r="A74" s="164" t="s">
        <v>651</v>
      </c>
      <c r="B74" s="164" t="s">
        <v>312</v>
      </c>
      <c r="C74" s="174" t="s">
        <v>271</v>
      </c>
      <c r="D74" s="173">
        <v>9192163497</v>
      </c>
      <c r="E74" s="172">
        <v>513140687</v>
      </c>
      <c r="F74" s="164" t="s">
        <v>247</v>
      </c>
      <c r="G74" s="171">
        <v>33956</v>
      </c>
      <c r="H74" s="54">
        <f ca="1">DATEDIF(G74,TODAY(),"Y")</f>
        <v>23</v>
      </c>
      <c r="I74" s="170" t="str">
        <f>CHOOSE(MONTH(G74),"January","February","March","April","May","June","July","August","September","October","November","December")</f>
        <v>December</v>
      </c>
      <c r="J74" s="55"/>
      <c r="K74" s="56">
        <v>51528</v>
      </c>
      <c r="L74" s="169">
        <v>1</v>
      </c>
    </row>
    <row r="75" spans="1:12" x14ac:dyDescent="0.25">
      <c r="A75" s="164" t="s">
        <v>729</v>
      </c>
      <c r="B75" s="164" t="s">
        <v>312</v>
      </c>
      <c r="C75" s="174" t="s">
        <v>285</v>
      </c>
      <c r="D75" s="173">
        <v>2525789252</v>
      </c>
      <c r="E75" s="172">
        <v>571120098</v>
      </c>
      <c r="F75" s="164" t="s">
        <v>256</v>
      </c>
      <c r="G75" s="171">
        <v>36557</v>
      </c>
      <c r="H75" s="54">
        <f ca="1">DATEDIF(G75,TODAY(),"Y")</f>
        <v>16</v>
      </c>
      <c r="I75" s="170" t="str">
        <f>CHOOSE(MONTH(G75),"January","February","March","April","May","June","July","August","September","October","November","December")</f>
        <v>February</v>
      </c>
      <c r="J75" s="55" t="s">
        <v>257</v>
      </c>
      <c r="K75" s="56">
        <v>73236</v>
      </c>
      <c r="L75" s="169">
        <v>3</v>
      </c>
    </row>
    <row r="76" spans="1:12" x14ac:dyDescent="0.25">
      <c r="A76" s="164" t="s">
        <v>692</v>
      </c>
      <c r="B76" s="164" t="s">
        <v>312</v>
      </c>
      <c r="C76" s="174" t="s">
        <v>271</v>
      </c>
      <c r="D76" s="173">
        <v>9191259179</v>
      </c>
      <c r="E76" s="172">
        <v>873100939</v>
      </c>
      <c r="F76" s="164" t="s">
        <v>256</v>
      </c>
      <c r="G76" s="171">
        <v>40813</v>
      </c>
      <c r="H76" s="54">
        <f ca="1">DATEDIF(G76,TODAY(),"Y")</f>
        <v>5</v>
      </c>
      <c r="I76" s="170" t="str">
        <f>CHOOSE(MONTH(G76),"January","February","March","April","May","June","July","August","September","October","November","December")</f>
        <v>September</v>
      </c>
      <c r="J76" s="55" t="s">
        <v>257</v>
      </c>
      <c r="K76" s="56">
        <v>49788</v>
      </c>
      <c r="L76" s="169">
        <v>5</v>
      </c>
    </row>
    <row r="77" spans="1:12" x14ac:dyDescent="0.25">
      <c r="A77" s="164" t="s">
        <v>340</v>
      </c>
      <c r="B77" s="164" t="s">
        <v>312</v>
      </c>
      <c r="C77" s="174" t="s">
        <v>245</v>
      </c>
      <c r="D77" s="173">
        <v>2527682821</v>
      </c>
      <c r="E77" s="172">
        <v>339398339</v>
      </c>
      <c r="F77" s="164" t="s">
        <v>256</v>
      </c>
      <c r="G77" s="171">
        <v>36693</v>
      </c>
      <c r="H77" s="79">
        <f ca="1">DATEDIF(G77,TODAY(),"Y")</f>
        <v>16</v>
      </c>
      <c r="I77" s="170" t="str">
        <f>CHOOSE(MONTH(G77),"January","February","March","April","May","June","July","August","September","October","November","December")</f>
        <v>June</v>
      </c>
      <c r="J77" s="80" t="s">
        <v>267</v>
      </c>
      <c r="K77" s="56">
        <v>41736</v>
      </c>
      <c r="L77" s="169">
        <v>4</v>
      </c>
    </row>
    <row r="78" spans="1:12" x14ac:dyDescent="0.25">
      <c r="A78" s="164" t="s">
        <v>562</v>
      </c>
      <c r="B78" s="164" t="s">
        <v>312</v>
      </c>
      <c r="C78" s="174" t="s">
        <v>285</v>
      </c>
      <c r="D78" s="173">
        <v>9192526124</v>
      </c>
      <c r="E78" s="172">
        <v>905675120</v>
      </c>
      <c r="F78" s="164" t="s">
        <v>256</v>
      </c>
      <c r="G78" s="171">
        <v>35935</v>
      </c>
      <c r="H78" s="54">
        <f ca="1">DATEDIF(G78,TODAY(),"Y")</f>
        <v>18</v>
      </c>
      <c r="I78" s="170" t="str">
        <f>CHOOSE(MONTH(G78),"January","February","March","April","May","June","July","August","September","October","November","December")</f>
        <v>May</v>
      </c>
      <c r="J78" s="55" t="s">
        <v>267</v>
      </c>
      <c r="K78" s="56">
        <v>93096</v>
      </c>
      <c r="L78" s="169">
        <v>3</v>
      </c>
    </row>
    <row r="79" spans="1:12" x14ac:dyDescent="0.25">
      <c r="A79" s="164" t="s">
        <v>993</v>
      </c>
      <c r="B79" s="164" t="s">
        <v>312</v>
      </c>
      <c r="C79" s="174" t="s">
        <v>271</v>
      </c>
      <c r="D79" s="173">
        <v>2526196095</v>
      </c>
      <c r="E79" s="172">
        <v>981106829</v>
      </c>
      <c r="F79" s="164" t="s">
        <v>247</v>
      </c>
      <c r="G79" s="171">
        <v>36576</v>
      </c>
      <c r="H79" s="54">
        <f ca="1">DATEDIF(G79,TODAY(),"Y")</f>
        <v>16</v>
      </c>
      <c r="I79" s="170" t="str">
        <f>CHOOSE(MONTH(G79),"January","February","March","April","May","June","July","August","September","October","November","December")</f>
        <v>February</v>
      </c>
      <c r="J79" s="55"/>
      <c r="K79" s="56">
        <v>102576</v>
      </c>
      <c r="L79" s="169">
        <v>5</v>
      </c>
    </row>
    <row r="80" spans="1:12" x14ac:dyDescent="0.25">
      <c r="A80" s="164" t="s">
        <v>301</v>
      </c>
      <c r="B80" s="164" t="s">
        <v>312</v>
      </c>
      <c r="C80" s="174" t="s">
        <v>271</v>
      </c>
      <c r="D80" s="173">
        <v>2526576057</v>
      </c>
      <c r="E80" s="172">
        <v>242099349</v>
      </c>
      <c r="F80" s="164" t="s">
        <v>256</v>
      </c>
      <c r="G80" s="171">
        <v>41229</v>
      </c>
      <c r="H80" s="54">
        <f ca="1">DATEDIF(G80,TODAY(),"Y")</f>
        <v>3</v>
      </c>
      <c r="I80" s="170" t="str">
        <f>CHOOSE(MONTH(G80),"January","February","March","April","May","June","July","August","September","October","November","December")</f>
        <v>November</v>
      </c>
      <c r="J80" s="55" t="s">
        <v>267</v>
      </c>
      <c r="K80" s="56">
        <v>93384</v>
      </c>
      <c r="L80" s="169">
        <v>3</v>
      </c>
    </row>
    <row r="81" spans="1:12" x14ac:dyDescent="0.25">
      <c r="A81" s="164" t="s">
        <v>734</v>
      </c>
      <c r="B81" s="164" t="s">
        <v>312</v>
      </c>
      <c r="C81" s="174" t="s">
        <v>245</v>
      </c>
      <c r="D81" s="173">
        <v>9192224790</v>
      </c>
      <c r="E81" s="172">
        <v>733413074</v>
      </c>
      <c r="F81" s="164" t="s">
        <v>247</v>
      </c>
      <c r="G81" s="171">
        <v>39698</v>
      </c>
      <c r="H81" s="54">
        <f ca="1">DATEDIF(G81,TODAY(),"Y")</f>
        <v>8</v>
      </c>
      <c r="I81" s="170" t="str">
        <f>CHOOSE(MONTH(G81),"January","February","March","April","May","June","July","August","September","October","November","December")</f>
        <v>September</v>
      </c>
      <c r="J81" s="55"/>
      <c r="K81" s="56">
        <v>99684</v>
      </c>
      <c r="L81" s="169">
        <v>3</v>
      </c>
    </row>
    <row r="82" spans="1:12" x14ac:dyDescent="0.25">
      <c r="A82" s="164" t="s">
        <v>404</v>
      </c>
      <c r="B82" s="164" t="s">
        <v>312</v>
      </c>
      <c r="C82" s="174" t="s">
        <v>271</v>
      </c>
      <c r="D82" s="173">
        <v>9191629556</v>
      </c>
      <c r="E82" s="172">
        <v>504735443</v>
      </c>
      <c r="F82" s="164" t="s">
        <v>247</v>
      </c>
      <c r="G82" s="171">
        <v>36630</v>
      </c>
      <c r="H82" s="54">
        <f ca="1">DATEDIF(G82,TODAY(),"Y")</f>
        <v>16</v>
      </c>
      <c r="I82" s="170" t="str">
        <f>CHOOSE(MONTH(G82),"January","February","March","April","May","June","July","August","September","October","November","December")</f>
        <v>April</v>
      </c>
      <c r="J82" s="55"/>
      <c r="K82" s="56">
        <v>76008</v>
      </c>
      <c r="L82" s="169">
        <v>3</v>
      </c>
    </row>
    <row r="83" spans="1:12" x14ac:dyDescent="0.25">
      <c r="A83" s="164" t="s">
        <v>910</v>
      </c>
      <c r="B83" s="164" t="s">
        <v>312</v>
      </c>
      <c r="C83" s="174" t="s">
        <v>285</v>
      </c>
      <c r="D83" s="173">
        <v>2525165289</v>
      </c>
      <c r="E83" s="172">
        <v>334574480</v>
      </c>
      <c r="F83" s="164" t="s">
        <v>256</v>
      </c>
      <c r="G83" s="171">
        <v>37234</v>
      </c>
      <c r="H83" s="54">
        <f ca="1">DATEDIF(G83,TODAY(),"Y")</f>
        <v>14</v>
      </c>
      <c r="I83" s="170" t="str">
        <f>CHOOSE(MONTH(G83),"January","February","March","April","May","June","July","August","September","October","November","December")</f>
        <v>December</v>
      </c>
      <c r="J83" s="55" t="s">
        <v>283</v>
      </c>
      <c r="K83" s="56">
        <v>38520</v>
      </c>
      <c r="L83" s="169">
        <v>1</v>
      </c>
    </row>
    <row r="84" spans="1:12" x14ac:dyDescent="0.25">
      <c r="A84" s="164" t="s">
        <v>577</v>
      </c>
      <c r="B84" s="164" t="s">
        <v>312</v>
      </c>
      <c r="C84" s="174" t="s">
        <v>285</v>
      </c>
      <c r="D84" s="173">
        <v>2523040292</v>
      </c>
      <c r="E84" s="172">
        <v>260815239</v>
      </c>
      <c r="F84" s="164" t="s">
        <v>252</v>
      </c>
      <c r="G84" s="171">
        <v>34348</v>
      </c>
      <c r="H84" s="54">
        <f ca="1">DATEDIF(G84,TODAY(),"Y")</f>
        <v>22</v>
      </c>
      <c r="I84" s="170" t="str">
        <f>CHOOSE(MONTH(G84),"January","February","March","April","May","June","July","August","September","October","November","December")</f>
        <v>January</v>
      </c>
      <c r="J84" s="55"/>
      <c r="K84" s="56">
        <v>17482</v>
      </c>
      <c r="L84" s="169">
        <v>3</v>
      </c>
    </row>
    <row r="85" spans="1:12" x14ac:dyDescent="0.25">
      <c r="A85" s="164" t="s">
        <v>999</v>
      </c>
      <c r="B85" s="164" t="s">
        <v>312</v>
      </c>
      <c r="C85" s="174" t="s">
        <v>245</v>
      </c>
      <c r="D85" s="173">
        <v>2528033253</v>
      </c>
      <c r="E85" s="172">
        <v>936730279</v>
      </c>
      <c r="F85" s="164" t="s">
        <v>261</v>
      </c>
      <c r="G85" s="171">
        <v>36245</v>
      </c>
      <c r="H85" s="54">
        <f ca="1">DATEDIF(G85,TODAY(),"Y")</f>
        <v>17</v>
      </c>
      <c r="I85" s="170" t="str">
        <f>CHOOSE(MONTH(G85),"January","February","March","April","May","June","July","August","September","October","November","December")</f>
        <v>March</v>
      </c>
      <c r="J85" s="55" t="s">
        <v>267</v>
      </c>
      <c r="K85" s="56">
        <v>58098</v>
      </c>
      <c r="L85" s="169">
        <v>4</v>
      </c>
    </row>
    <row r="86" spans="1:12" x14ac:dyDescent="0.25">
      <c r="A86" s="164" t="s">
        <v>589</v>
      </c>
      <c r="B86" s="164" t="s">
        <v>312</v>
      </c>
      <c r="C86" s="174" t="s">
        <v>271</v>
      </c>
      <c r="D86" s="173">
        <v>2524633649</v>
      </c>
      <c r="E86" s="172">
        <v>459522265</v>
      </c>
      <c r="F86" s="164" t="s">
        <v>256</v>
      </c>
      <c r="G86" s="171">
        <v>34303</v>
      </c>
      <c r="H86" s="54">
        <f ca="1">DATEDIF(G86,TODAY(),"Y")</f>
        <v>22</v>
      </c>
      <c r="I86" s="170" t="str">
        <f>CHOOSE(MONTH(G86),"January","February","March","April","May","June","July","August","September","October","November","December")</f>
        <v>November</v>
      </c>
      <c r="J86" s="55" t="s">
        <v>262</v>
      </c>
      <c r="K86" s="56">
        <v>73680</v>
      </c>
      <c r="L86" s="169">
        <v>5</v>
      </c>
    </row>
    <row r="87" spans="1:12" x14ac:dyDescent="0.25">
      <c r="A87" s="164" t="s">
        <v>1008</v>
      </c>
      <c r="B87" s="164" t="s">
        <v>312</v>
      </c>
      <c r="C87" s="174" t="s">
        <v>280</v>
      </c>
      <c r="D87" s="173">
        <v>9196224056</v>
      </c>
      <c r="E87" s="172">
        <v>683222853</v>
      </c>
      <c r="F87" s="164" t="s">
        <v>247</v>
      </c>
      <c r="G87" s="171">
        <v>40650</v>
      </c>
      <c r="H87" s="54">
        <f ca="1">DATEDIF(G87,TODAY(),"Y")</f>
        <v>5</v>
      </c>
      <c r="I87" s="170" t="str">
        <f>CHOOSE(MONTH(G87),"January","February","March","April","May","June","July","August","September","October","November","December")</f>
        <v>April</v>
      </c>
      <c r="J87" s="55"/>
      <c r="K87" s="56">
        <v>30948</v>
      </c>
      <c r="L87" s="169">
        <v>3</v>
      </c>
    </row>
    <row r="88" spans="1:12" x14ac:dyDescent="0.25">
      <c r="A88" s="164" t="s">
        <v>599</v>
      </c>
      <c r="B88" s="164" t="s">
        <v>312</v>
      </c>
      <c r="C88" s="174" t="s">
        <v>245</v>
      </c>
      <c r="D88" s="173">
        <v>9193848677</v>
      </c>
      <c r="E88" s="172">
        <v>474999228</v>
      </c>
      <c r="F88" s="164" t="s">
        <v>247</v>
      </c>
      <c r="G88" s="171">
        <v>36815</v>
      </c>
      <c r="H88" s="54">
        <f ca="1">DATEDIF(G88,TODAY(),"Y")</f>
        <v>16</v>
      </c>
      <c r="I88" s="170" t="str">
        <f>CHOOSE(MONTH(G88),"January","February","March","April","May","June","July","August","September","October","November","December")</f>
        <v>October</v>
      </c>
      <c r="J88" s="55"/>
      <c r="K88" s="56">
        <v>92316</v>
      </c>
      <c r="L88" s="169">
        <v>1</v>
      </c>
    </row>
    <row r="89" spans="1:12" x14ac:dyDescent="0.25">
      <c r="A89" s="164" t="s">
        <v>839</v>
      </c>
      <c r="B89" s="164" t="s">
        <v>312</v>
      </c>
      <c r="C89" s="174" t="s">
        <v>245</v>
      </c>
      <c r="D89" s="173">
        <v>9194416232</v>
      </c>
      <c r="E89" s="172">
        <v>676534152</v>
      </c>
      <c r="F89" s="164" t="s">
        <v>256</v>
      </c>
      <c r="G89" s="171">
        <v>41020</v>
      </c>
      <c r="H89" s="54">
        <f ca="1">DATEDIF(G89,TODAY(),"Y")</f>
        <v>4</v>
      </c>
      <c r="I89" s="170" t="str">
        <f>CHOOSE(MONTH(G89),"January","February","March","April","May","June","July","August","September","October","November","December")</f>
        <v>April</v>
      </c>
      <c r="J89" s="55" t="s">
        <v>257</v>
      </c>
      <c r="K89" s="56">
        <v>27936</v>
      </c>
      <c r="L89" s="169">
        <v>1</v>
      </c>
    </row>
    <row r="90" spans="1:12" x14ac:dyDescent="0.25">
      <c r="A90" s="164" t="s">
        <v>290</v>
      </c>
      <c r="B90" s="164" t="s">
        <v>312</v>
      </c>
      <c r="C90" s="174" t="s">
        <v>280</v>
      </c>
      <c r="D90" s="173">
        <v>2522636516</v>
      </c>
      <c r="E90" s="172">
        <v>247276092</v>
      </c>
      <c r="F90" s="164" t="s">
        <v>247</v>
      </c>
      <c r="G90" s="171">
        <v>35847</v>
      </c>
      <c r="H90" s="54">
        <f ca="1">DATEDIF(G90,TODAY(),"Y")</f>
        <v>18</v>
      </c>
      <c r="I90" s="170" t="str">
        <f>CHOOSE(MONTH(G90),"January","February","March","April","May","June","July","August","September","October","November","December")</f>
        <v>February</v>
      </c>
      <c r="J90" s="55"/>
      <c r="K90" s="56">
        <v>77268</v>
      </c>
      <c r="L90" s="169">
        <v>2</v>
      </c>
    </row>
    <row r="91" spans="1:12" x14ac:dyDescent="0.25">
      <c r="A91" s="164" t="s">
        <v>844</v>
      </c>
      <c r="B91" s="164" t="s">
        <v>312</v>
      </c>
      <c r="C91" s="174" t="s">
        <v>285</v>
      </c>
      <c r="D91" s="173">
        <v>2525777345</v>
      </c>
      <c r="E91" s="172">
        <v>252276921</v>
      </c>
      <c r="F91" s="164" t="s">
        <v>256</v>
      </c>
      <c r="G91" s="171">
        <v>38513</v>
      </c>
      <c r="H91" s="54">
        <f ca="1">DATEDIF(G91,TODAY(),"Y")</f>
        <v>11</v>
      </c>
      <c r="I91" s="170" t="str">
        <f>CHOOSE(MONTH(G91),"January","February","March","April","May","June","July","August","September","October","November","December")</f>
        <v>June</v>
      </c>
      <c r="J91" s="55" t="s">
        <v>283</v>
      </c>
      <c r="K91" s="56">
        <v>104736</v>
      </c>
      <c r="L91" s="169">
        <v>4</v>
      </c>
    </row>
    <row r="92" spans="1:12" x14ac:dyDescent="0.25">
      <c r="A92" s="164" t="s">
        <v>703</v>
      </c>
      <c r="B92" s="164" t="s">
        <v>312</v>
      </c>
      <c r="C92" s="174" t="s">
        <v>271</v>
      </c>
      <c r="D92" s="173">
        <v>2525295649</v>
      </c>
      <c r="E92" s="172">
        <v>923665952</v>
      </c>
      <c r="F92" s="164" t="s">
        <v>256</v>
      </c>
      <c r="G92" s="171">
        <v>35814</v>
      </c>
      <c r="H92" s="54">
        <f ca="1">DATEDIF(G92,TODAY(),"Y")</f>
        <v>18</v>
      </c>
      <c r="I92" s="170" t="str">
        <f>CHOOSE(MONTH(G92),"January","February","March","April","May","June","July","August","September","October","November","December")</f>
        <v>January</v>
      </c>
      <c r="J92" s="55" t="s">
        <v>267</v>
      </c>
      <c r="K92" s="56">
        <v>92820</v>
      </c>
      <c r="L92" s="169">
        <v>5</v>
      </c>
    </row>
    <row r="93" spans="1:12" x14ac:dyDescent="0.25">
      <c r="A93" s="164" t="s">
        <v>611</v>
      </c>
      <c r="B93" s="164" t="s">
        <v>312</v>
      </c>
      <c r="C93" s="174" t="s">
        <v>271</v>
      </c>
      <c r="D93" s="173">
        <v>2526711140</v>
      </c>
      <c r="E93" s="172">
        <v>721169660</v>
      </c>
      <c r="F93" s="164" t="s">
        <v>256</v>
      </c>
      <c r="G93" s="171">
        <v>41002</v>
      </c>
      <c r="H93" s="54">
        <f ca="1">DATEDIF(G93,TODAY(),"Y")</f>
        <v>4</v>
      </c>
      <c r="I93" s="170" t="str">
        <f>CHOOSE(MONTH(G93),"January","February","March","April","May","June","July","August","September","October","November","December")</f>
        <v>April</v>
      </c>
      <c r="J93" s="55" t="s">
        <v>262</v>
      </c>
      <c r="K93" s="56">
        <v>46476</v>
      </c>
      <c r="L93" s="169">
        <v>1</v>
      </c>
    </row>
    <row r="94" spans="1:12" x14ac:dyDescent="0.25">
      <c r="A94" s="164" t="s">
        <v>613</v>
      </c>
      <c r="B94" s="164" t="s">
        <v>312</v>
      </c>
      <c r="C94" s="174" t="s">
        <v>245</v>
      </c>
      <c r="D94" s="173">
        <v>2524125146</v>
      </c>
      <c r="E94" s="172">
        <v>365117800</v>
      </c>
      <c r="F94" s="164" t="s">
        <v>256</v>
      </c>
      <c r="G94" s="171">
        <v>38688</v>
      </c>
      <c r="H94" s="54">
        <f ca="1">DATEDIF(G94,TODAY(),"Y")</f>
        <v>10</v>
      </c>
      <c r="I94" s="170" t="str">
        <f>CHOOSE(MONTH(G94),"January","February","March","April","May","June","July","August","September","October","November","December")</f>
        <v>December</v>
      </c>
      <c r="J94" s="55" t="s">
        <v>257</v>
      </c>
      <c r="K94" s="56">
        <v>80268</v>
      </c>
      <c r="L94" s="169">
        <v>5</v>
      </c>
    </row>
    <row r="95" spans="1:12" x14ac:dyDescent="0.25">
      <c r="A95" s="164" t="s">
        <v>624</v>
      </c>
      <c r="B95" s="164" t="s">
        <v>312</v>
      </c>
      <c r="C95" s="174" t="s">
        <v>245</v>
      </c>
      <c r="D95" s="173">
        <v>2525829090</v>
      </c>
      <c r="E95" s="172">
        <v>648911225</v>
      </c>
      <c r="F95" s="164" t="s">
        <v>247</v>
      </c>
      <c r="G95" s="171">
        <v>34709</v>
      </c>
      <c r="H95" s="54">
        <f ca="1">DATEDIF(G95,TODAY(),"Y")</f>
        <v>21</v>
      </c>
      <c r="I95" s="170" t="str">
        <f>CHOOSE(MONTH(G95),"January","February","March","April","May","June","July","August","September","October","November","December")</f>
        <v>January</v>
      </c>
      <c r="J95" s="55"/>
      <c r="K95" s="56">
        <v>99624</v>
      </c>
      <c r="L95" s="169">
        <v>4</v>
      </c>
    </row>
    <row r="96" spans="1:12" x14ac:dyDescent="0.25">
      <c r="A96" s="164" t="s">
        <v>1023</v>
      </c>
      <c r="B96" s="164" t="s">
        <v>312</v>
      </c>
      <c r="C96" s="174" t="s">
        <v>245</v>
      </c>
      <c r="D96" s="173">
        <v>2524924736</v>
      </c>
      <c r="E96" s="172">
        <v>822974734</v>
      </c>
      <c r="F96" s="164" t="s">
        <v>252</v>
      </c>
      <c r="G96" s="171">
        <v>37215</v>
      </c>
      <c r="H96" s="54">
        <f ca="1">DATEDIF(G96,TODAY(),"Y")</f>
        <v>14</v>
      </c>
      <c r="I96" s="170" t="str">
        <f>CHOOSE(MONTH(G96),"January","February","March","April","May","June","July","August","September","October","November","December")</f>
        <v>November</v>
      </c>
      <c r="J96" s="55"/>
      <c r="K96" s="56">
        <v>39667</v>
      </c>
      <c r="L96" s="169">
        <v>5</v>
      </c>
    </row>
    <row r="97" spans="1:12" x14ac:dyDescent="0.25">
      <c r="A97" s="164" t="s">
        <v>932</v>
      </c>
      <c r="B97" s="164" t="s">
        <v>372</v>
      </c>
      <c r="C97" s="174" t="s">
        <v>285</v>
      </c>
      <c r="D97" s="173">
        <v>9197146686</v>
      </c>
      <c r="E97" s="172">
        <v>495042805</v>
      </c>
      <c r="F97" s="164" t="s">
        <v>247</v>
      </c>
      <c r="G97" s="171">
        <v>40981</v>
      </c>
      <c r="H97" s="54">
        <f ca="1">DATEDIF(G97,TODAY(),"Y")</f>
        <v>4</v>
      </c>
      <c r="I97" s="170" t="str">
        <f>CHOOSE(MONTH(G97),"January","February","March","April","May","June","July","August","September","October","November","December")</f>
        <v>March</v>
      </c>
      <c r="J97" s="55"/>
      <c r="K97" s="56">
        <v>71220</v>
      </c>
      <c r="L97" s="169">
        <v>5</v>
      </c>
    </row>
    <row r="98" spans="1:12" x14ac:dyDescent="0.25">
      <c r="A98" s="164" t="s">
        <v>718</v>
      </c>
      <c r="B98" s="164" t="s">
        <v>372</v>
      </c>
      <c r="C98" s="174" t="s">
        <v>285</v>
      </c>
      <c r="D98" s="173">
        <v>9194125294</v>
      </c>
      <c r="E98" s="172">
        <v>207506781</v>
      </c>
      <c r="F98" s="164" t="s">
        <v>256</v>
      </c>
      <c r="G98" s="171">
        <v>40651</v>
      </c>
      <c r="H98" s="54">
        <f ca="1">DATEDIF(G98,TODAY(),"Y")</f>
        <v>5</v>
      </c>
      <c r="I98" s="170" t="str">
        <f>CHOOSE(MONTH(G98),"January","February","March","April","May","June","July","August","September","October","November","December")</f>
        <v>April</v>
      </c>
      <c r="J98" s="55" t="s">
        <v>257</v>
      </c>
      <c r="K98" s="56">
        <v>91728</v>
      </c>
      <c r="L98" s="169">
        <v>3</v>
      </c>
    </row>
    <row r="99" spans="1:12" x14ac:dyDescent="0.25">
      <c r="A99" s="164" t="s">
        <v>429</v>
      </c>
      <c r="B99" s="164" t="s">
        <v>372</v>
      </c>
      <c r="C99" s="174" t="s">
        <v>285</v>
      </c>
      <c r="D99" s="173">
        <v>2521656242</v>
      </c>
      <c r="E99" s="172">
        <v>272036635</v>
      </c>
      <c r="F99" s="164" t="s">
        <v>256</v>
      </c>
      <c r="G99" s="171">
        <v>38611</v>
      </c>
      <c r="H99" s="54">
        <f ca="1">DATEDIF(G99,TODAY(),"Y")</f>
        <v>11</v>
      </c>
      <c r="I99" s="170" t="str">
        <f>CHOOSE(MONTH(G99),"January","February","March","April","May","June","July","August","September","October","November","December")</f>
        <v>September</v>
      </c>
      <c r="J99" s="55" t="s">
        <v>257</v>
      </c>
      <c r="K99" s="56">
        <v>103836</v>
      </c>
      <c r="L99" s="169">
        <v>1</v>
      </c>
    </row>
    <row r="100" spans="1:12" x14ac:dyDescent="0.25">
      <c r="A100" s="164" t="s">
        <v>817</v>
      </c>
      <c r="B100" s="164" t="s">
        <v>372</v>
      </c>
      <c r="C100" s="174" t="s">
        <v>285</v>
      </c>
      <c r="D100" s="173">
        <v>2523173691</v>
      </c>
      <c r="E100" s="172">
        <v>920505896</v>
      </c>
      <c r="F100" s="164" t="s">
        <v>247</v>
      </c>
      <c r="G100" s="171">
        <v>39483</v>
      </c>
      <c r="H100" s="54">
        <f ca="1">DATEDIF(G100,TODAY(),"Y")</f>
        <v>8</v>
      </c>
      <c r="I100" s="170" t="str">
        <f>CHOOSE(MONTH(G100),"January","February","March","April","May","June","July","August","September","October","November","December")</f>
        <v>February</v>
      </c>
      <c r="J100" s="55"/>
      <c r="K100" s="56">
        <v>94632</v>
      </c>
      <c r="L100" s="169">
        <v>2</v>
      </c>
    </row>
    <row r="101" spans="1:12" x14ac:dyDescent="0.25">
      <c r="A101" s="164" t="s">
        <v>388</v>
      </c>
      <c r="B101" s="164" t="s">
        <v>372</v>
      </c>
      <c r="C101" s="174" t="s">
        <v>251</v>
      </c>
      <c r="D101" s="173">
        <v>2524663056</v>
      </c>
      <c r="E101" s="172">
        <v>640301378</v>
      </c>
      <c r="F101" s="164" t="s">
        <v>261</v>
      </c>
      <c r="G101" s="171">
        <v>41233</v>
      </c>
      <c r="H101" s="54">
        <f ca="1">DATEDIF(G101,TODAY(),"Y")</f>
        <v>3</v>
      </c>
      <c r="I101" s="170" t="str">
        <f>CHOOSE(MONTH(G101),"January","February","March","April","May","June","July","August","September","October","November","December")</f>
        <v>November</v>
      </c>
      <c r="J101" s="55" t="s">
        <v>283</v>
      </c>
      <c r="K101" s="56">
        <v>55476</v>
      </c>
      <c r="L101" s="169">
        <v>2</v>
      </c>
    </row>
    <row r="102" spans="1:12" x14ac:dyDescent="0.25">
      <c r="A102" s="164" t="s">
        <v>563</v>
      </c>
      <c r="B102" s="164" t="s">
        <v>372</v>
      </c>
      <c r="C102" s="174" t="s">
        <v>271</v>
      </c>
      <c r="D102" s="173">
        <v>2527474942</v>
      </c>
      <c r="E102" s="172">
        <v>759350847</v>
      </c>
      <c r="F102" s="164" t="s">
        <v>256</v>
      </c>
      <c r="G102" s="171">
        <v>39125</v>
      </c>
      <c r="H102" s="54">
        <f ca="1">DATEDIF(G102,TODAY(),"Y")</f>
        <v>9</v>
      </c>
      <c r="I102" s="170" t="str">
        <f>CHOOSE(MONTH(G102),"January","February","March","April","May","June","July","August","September","October","November","December")</f>
        <v>February</v>
      </c>
      <c r="J102" s="55" t="s">
        <v>257</v>
      </c>
      <c r="K102" s="56">
        <v>43956</v>
      </c>
      <c r="L102" s="169">
        <v>4</v>
      </c>
    </row>
    <row r="103" spans="1:12" x14ac:dyDescent="0.25">
      <c r="A103" s="164" t="s">
        <v>591</v>
      </c>
      <c r="B103" s="164" t="s">
        <v>372</v>
      </c>
      <c r="C103" s="174" t="s">
        <v>280</v>
      </c>
      <c r="D103" s="173">
        <v>9192824485</v>
      </c>
      <c r="E103" s="172">
        <v>676831149</v>
      </c>
      <c r="F103" s="164" t="s">
        <v>256</v>
      </c>
      <c r="G103" s="171">
        <v>40116</v>
      </c>
      <c r="H103" s="54">
        <f ca="1">DATEDIF(G103,TODAY(),"Y")</f>
        <v>7</v>
      </c>
      <c r="I103" s="170" t="str">
        <f>CHOOSE(MONTH(G103),"January","February","March","April","May","June","July","August","September","October","November","December")</f>
        <v>October</v>
      </c>
      <c r="J103" s="55" t="s">
        <v>257</v>
      </c>
      <c r="K103" s="56">
        <v>85344</v>
      </c>
      <c r="L103" s="169">
        <v>4</v>
      </c>
    </row>
    <row r="104" spans="1:12" x14ac:dyDescent="0.25">
      <c r="A104" s="164" t="s">
        <v>448</v>
      </c>
      <c r="B104" s="164" t="s">
        <v>372</v>
      </c>
      <c r="C104" s="174" t="s">
        <v>271</v>
      </c>
      <c r="D104" s="173">
        <v>9198310129</v>
      </c>
      <c r="E104" s="172">
        <v>106966222</v>
      </c>
      <c r="F104" s="164" t="s">
        <v>247</v>
      </c>
      <c r="G104" s="171">
        <v>40257</v>
      </c>
      <c r="H104" s="54">
        <f ca="1">DATEDIF(G104,TODAY(),"Y")</f>
        <v>6</v>
      </c>
      <c r="I104" s="170" t="str">
        <f>CHOOSE(MONTH(G104),"January","February","March","April","May","June","July","August","September","October","November","December")</f>
        <v>March</v>
      </c>
      <c r="J104" s="55"/>
      <c r="K104" s="56">
        <v>42744</v>
      </c>
      <c r="L104" s="169">
        <v>4</v>
      </c>
    </row>
    <row r="105" spans="1:12" x14ac:dyDescent="0.25">
      <c r="A105" s="164" t="s">
        <v>625</v>
      </c>
      <c r="B105" s="164" t="s">
        <v>381</v>
      </c>
      <c r="C105" s="174" t="s">
        <v>271</v>
      </c>
      <c r="D105" s="173">
        <v>9198824849</v>
      </c>
      <c r="E105" s="172">
        <v>324622113</v>
      </c>
      <c r="F105" s="164" t="s">
        <v>261</v>
      </c>
      <c r="G105" s="171">
        <v>41244</v>
      </c>
      <c r="H105" s="54">
        <f ca="1">DATEDIF(G105,TODAY(),"Y")</f>
        <v>3</v>
      </c>
      <c r="I105" s="170" t="str">
        <f>CHOOSE(MONTH(G105),"January","February","March","April","May","June","July","August","September","October","November","December")</f>
        <v>December</v>
      </c>
      <c r="J105" s="55" t="s">
        <v>283</v>
      </c>
      <c r="K105" s="56">
        <v>34350</v>
      </c>
      <c r="L105" s="169">
        <v>1</v>
      </c>
    </row>
    <row r="106" spans="1:12" x14ac:dyDescent="0.25">
      <c r="A106" s="164" t="s">
        <v>504</v>
      </c>
      <c r="B106" s="164" t="s">
        <v>381</v>
      </c>
      <c r="C106" s="174" t="s">
        <v>271</v>
      </c>
      <c r="D106" s="173">
        <v>2524752921</v>
      </c>
      <c r="E106" s="172">
        <v>925049144</v>
      </c>
      <c r="F106" s="164" t="s">
        <v>256</v>
      </c>
      <c r="G106" s="171">
        <v>36977</v>
      </c>
      <c r="H106" s="54">
        <f ca="1">DATEDIF(G106,TODAY(),"Y")</f>
        <v>15</v>
      </c>
      <c r="I106" s="170" t="str">
        <f>CHOOSE(MONTH(G106),"January","February","March","April","May","June","July","August","September","October","November","December")</f>
        <v>March</v>
      </c>
      <c r="J106" s="55" t="s">
        <v>257</v>
      </c>
      <c r="K106" s="56">
        <v>59832</v>
      </c>
      <c r="L106" s="169">
        <v>2</v>
      </c>
    </row>
    <row r="107" spans="1:12" x14ac:dyDescent="0.25">
      <c r="A107" s="164" t="s">
        <v>808</v>
      </c>
      <c r="B107" s="164" t="s">
        <v>381</v>
      </c>
      <c r="C107" s="174" t="s">
        <v>271</v>
      </c>
      <c r="D107" s="173">
        <v>9193517837</v>
      </c>
      <c r="E107" s="172">
        <v>943671719</v>
      </c>
      <c r="F107" s="164" t="s">
        <v>256</v>
      </c>
      <c r="G107" s="171">
        <v>36177</v>
      </c>
      <c r="H107" s="54">
        <f ca="1">DATEDIF(G107,TODAY(),"Y")</f>
        <v>17</v>
      </c>
      <c r="I107" s="170" t="str">
        <f>CHOOSE(MONTH(G107),"January","February","March","April","May","June","July","August","September","October","November","December")</f>
        <v>January</v>
      </c>
      <c r="J107" s="55" t="s">
        <v>283</v>
      </c>
      <c r="K107" s="56">
        <v>27504</v>
      </c>
      <c r="L107" s="169">
        <v>3</v>
      </c>
    </row>
    <row r="108" spans="1:12" x14ac:dyDescent="0.25">
      <c r="A108" s="164" t="s">
        <v>650</v>
      </c>
      <c r="B108" s="164" t="s">
        <v>381</v>
      </c>
      <c r="C108" s="174" t="s">
        <v>285</v>
      </c>
      <c r="D108" s="173">
        <v>2524747044</v>
      </c>
      <c r="E108" s="172">
        <v>405297884</v>
      </c>
      <c r="F108" s="164" t="s">
        <v>256</v>
      </c>
      <c r="G108" s="171">
        <v>33799</v>
      </c>
      <c r="H108" s="54">
        <f ca="1">DATEDIF(G108,TODAY(),"Y")</f>
        <v>24</v>
      </c>
      <c r="I108" s="170" t="str">
        <f>CHOOSE(MONTH(G108),"January","February","March","April","May","June","July","August","September","October","November","December")</f>
        <v>July</v>
      </c>
      <c r="J108" s="55" t="s">
        <v>283</v>
      </c>
      <c r="K108" s="56">
        <v>82872</v>
      </c>
      <c r="L108" s="169">
        <v>1</v>
      </c>
    </row>
    <row r="109" spans="1:12" x14ac:dyDescent="0.25">
      <c r="A109" s="164" t="s">
        <v>436</v>
      </c>
      <c r="B109" s="164" t="s">
        <v>381</v>
      </c>
      <c r="C109" s="174" t="s">
        <v>280</v>
      </c>
      <c r="D109" s="173">
        <v>2526092172</v>
      </c>
      <c r="E109" s="172">
        <v>313651312</v>
      </c>
      <c r="F109" s="164" t="s">
        <v>256</v>
      </c>
      <c r="G109" s="171">
        <v>36910</v>
      </c>
      <c r="H109" s="54">
        <f ca="1">DATEDIF(G109,TODAY(),"Y")</f>
        <v>15</v>
      </c>
      <c r="I109" s="170" t="str">
        <f>CHOOSE(MONTH(G109),"January","February","March","April","May","June","July","August","September","October","November","December")</f>
        <v>January</v>
      </c>
      <c r="J109" s="55" t="s">
        <v>283</v>
      </c>
      <c r="K109" s="56">
        <v>81960</v>
      </c>
      <c r="L109" s="169">
        <v>5</v>
      </c>
    </row>
    <row r="110" spans="1:12" x14ac:dyDescent="0.25">
      <c r="A110" s="164" t="s">
        <v>572</v>
      </c>
      <c r="B110" s="164" t="s">
        <v>381</v>
      </c>
      <c r="C110" s="174" t="s">
        <v>285</v>
      </c>
      <c r="D110" s="173">
        <v>2527405629</v>
      </c>
      <c r="E110" s="172">
        <v>510190628</v>
      </c>
      <c r="F110" s="164" t="s">
        <v>256</v>
      </c>
      <c r="G110" s="171">
        <v>39875</v>
      </c>
      <c r="H110" s="54">
        <f ca="1">DATEDIF(G110,TODAY(),"Y")</f>
        <v>7</v>
      </c>
      <c r="I110" s="170" t="str">
        <f>CHOOSE(MONTH(G110),"January","February","March","April","May","June","July","August","September","October","November","December")</f>
        <v>March</v>
      </c>
      <c r="J110" s="55" t="s">
        <v>283</v>
      </c>
      <c r="K110" s="56">
        <v>52416</v>
      </c>
      <c r="L110" s="169">
        <v>5</v>
      </c>
    </row>
    <row r="111" spans="1:12" x14ac:dyDescent="0.25">
      <c r="A111" s="164" t="s">
        <v>924</v>
      </c>
      <c r="B111" s="164" t="s">
        <v>381</v>
      </c>
      <c r="C111" s="174" t="s">
        <v>266</v>
      </c>
      <c r="D111" s="173">
        <v>2524106437</v>
      </c>
      <c r="E111" s="172">
        <v>452692136</v>
      </c>
      <c r="F111" s="164" t="s">
        <v>256</v>
      </c>
      <c r="G111" s="171">
        <v>36242</v>
      </c>
      <c r="H111" s="54">
        <f ca="1">DATEDIF(G111,TODAY(),"Y")</f>
        <v>17</v>
      </c>
      <c r="I111" s="170" t="str">
        <f>CHOOSE(MONTH(G111),"January","February","March","April","May","June","July","August","September","October","November","December")</f>
        <v>March</v>
      </c>
      <c r="J111" s="55" t="s">
        <v>267</v>
      </c>
      <c r="K111" s="56">
        <v>31812</v>
      </c>
      <c r="L111" s="169">
        <v>1</v>
      </c>
    </row>
    <row r="112" spans="1:12" x14ac:dyDescent="0.25">
      <c r="A112" s="164" t="s">
        <v>927</v>
      </c>
      <c r="B112" s="164" t="s">
        <v>381</v>
      </c>
      <c r="C112" s="174" t="s">
        <v>285</v>
      </c>
      <c r="D112" s="173">
        <v>9192229885</v>
      </c>
      <c r="E112" s="172">
        <v>124203063</v>
      </c>
      <c r="F112" s="164" t="s">
        <v>261</v>
      </c>
      <c r="G112" s="171">
        <v>41300</v>
      </c>
      <c r="H112" s="54">
        <f ca="1">DATEDIF(G112,TODAY(),"Y")</f>
        <v>3</v>
      </c>
      <c r="I112" s="170" t="str">
        <f>CHOOSE(MONTH(G112),"January","February","March","April","May","June","July","August","September","October","November","December")</f>
        <v>January</v>
      </c>
      <c r="J112" s="55" t="s">
        <v>283</v>
      </c>
      <c r="K112" s="56">
        <v>12624</v>
      </c>
      <c r="L112" s="169">
        <v>4</v>
      </c>
    </row>
    <row r="113" spans="1:12" x14ac:dyDescent="0.25">
      <c r="A113" s="164" t="s">
        <v>370</v>
      </c>
      <c r="B113" s="164" t="s">
        <v>381</v>
      </c>
      <c r="C113" s="174" t="s">
        <v>271</v>
      </c>
      <c r="D113" s="173">
        <v>9194944945</v>
      </c>
      <c r="E113" s="172">
        <v>651995963</v>
      </c>
      <c r="F113" s="164" t="s">
        <v>252</v>
      </c>
      <c r="G113" s="171">
        <v>41041</v>
      </c>
      <c r="H113" s="54">
        <f ca="1">DATEDIF(G113,TODAY(),"Y")</f>
        <v>4</v>
      </c>
      <c r="I113" s="170" t="str">
        <f>CHOOSE(MONTH(G113),"January","February","March","April","May","June","July","August","September","October","November","December")</f>
        <v>May</v>
      </c>
      <c r="J113" s="55"/>
      <c r="K113" s="56">
        <v>32981</v>
      </c>
      <c r="L113" s="169">
        <v>4</v>
      </c>
    </row>
    <row r="114" spans="1:12" x14ac:dyDescent="0.25">
      <c r="A114" s="164" t="s">
        <v>936</v>
      </c>
      <c r="B114" s="164" t="s">
        <v>391</v>
      </c>
      <c r="C114" s="174" t="s">
        <v>271</v>
      </c>
      <c r="D114" s="173">
        <v>2525724528</v>
      </c>
      <c r="E114" s="172">
        <v>907491320</v>
      </c>
      <c r="F114" s="164" t="s">
        <v>261</v>
      </c>
      <c r="G114" s="171">
        <v>37085</v>
      </c>
      <c r="H114" s="54">
        <f ca="1">DATEDIF(G114,TODAY(),"Y")</f>
        <v>15</v>
      </c>
      <c r="I114" s="170" t="str">
        <f>CHOOSE(MONTH(G114),"January","February","March","April","May","June","July","August","September","October","November","December")</f>
        <v>July</v>
      </c>
      <c r="J114" s="55" t="s">
        <v>276</v>
      </c>
      <c r="K114" s="56">
        <v>51486</v>
      </c>
      <c r="L114" s="169">
        <v>1</v>
      </c>
    </row>
    <row r="115" spans="1:12" x14ac:dyDescent="0.25">
      <c r="A115" s="164" t="s">
        <v>314</v>
      </c>
      <c r="B115" s="164" t="s">
        <v>391</v>
      </c>
      <c r="C115" s="174" t="s">
        <v>266</v>
      </c>
      <c r="D115" s="173">
        <v>2523373445</v>
      </c>
      <c r="E115" s="172">
        <v>707882019</v>
      </c>
      <c r="F115" s="164" t="s">
        <v>247</v>
      </c>
      <c r="G115" s="171">
        <v>37070</v>
      </c>
      <c r="H115" s="54">
        <f ca="1">DATEDIF(G115,TODAY(),"Y")</f>
        <v>15</v>
      </c>
      <c r="I115" s="170" t="str">
        <f>CHOOSE(MONTH(G115),"January","February","March","April","May","June","July","August","September","October","November","December")</f>
        <v>June</v>
      </c>
      <c r="J115" s="55"/>
      <c r="K115" s="56">
        <v>104364</v>
      </c>
      <c r="L115" s="169">
        <v>4</v>
      </c>
    </row>
    <row r="116" spans="1:12" x14ac:dyDescent="0.25">
      <c r="A116" s="164" t="s">
        <v>484</v>
      </c>
      <c r="B116" s="164" t="s">
        <v>391</v>
      </c>
      <c r="C116" s="174" t="s">
        <v>271</v>
      </c>
      <c r="D116" s="173">
        <v>2523748373</v>
      </c>
      <c r="E116" s="172">
        <v>863161920</v>
      </c>
      <c r="F116" s="164" t="s">
        <v>256</v>
      </c>
      <c r="G116" s="171">
        <v>36805</v>
      </c>
      <c r="H116" s="54">
        <f ca="1">DATEDIF(G116,TODAY(),"Y")</f>
        <v>16</v>
      </c>
      <c r="I116" s="170" t="str">
        <f>CHOOSE(MONTH(G116),"January","February","March","April","May","June","July","August","September","October","November","December")</f>
        <v>October</v>
      </c>
      <c r="J116" s="55" t="s">
        <v>283</v>
      </c>
      <c r="K116" s="56">
        <v>60132</v>
      </c>
      <c r="L116" s="169">
        <v>1</v>
      </c>
    </row>
    <row r="117" spans="1:12" x14ac:dyDescent="0.25">
      <c r="A117" s="164" t="s">
        <v>871</v>
      </c>
      <c r="B117" s="164" t="s">
        <v>391</v>
      </c>
      <c r="C117" s="174" t="s">
        <v>266</v>
      </c>
      <c r="D117" s="173">
        <v>2528440900</v>
      </c>
      <c r="E117" s="172">
        <v>434927073</v>
      </c>
      <c r="F117" s="164" t="s">
        <v>256</v>
      </c>
      <c r="G117" s="171">
        <v>38340</v>
      </c>
      <c r="H117" s="54">
        <f ca="1">DATEDIF(G117,TODAY(),"Y")</f>
        <v>11</v>
      </c>
      <c r="I117" s="170" t="str">
        <f>CHOOSE(MONTH(G117),"January","February","March","April","May","June","July","August","September","October","November","December")</f>
        <v>December</v>
      </c>
      <c r="J117" s="55" t="s">
        <v>267</v>
      </c>
      <c r="K117" s="56">
        <v>47688</v>
      </c>
      <c r="L117" s="169">
        <v>1</v>
      </c>
    </row>
    <row r="118" spans="1:12" x14ac:dyDescent="0.25">
      <c r="A118" s="175" t="s">
        <v>244</v>
      </c>
      <c r="B118" s="164" t="s">
        <v>391</v>
      </c>
      <c r="C118" s="174" t="s">
        <v>285</v>
      </c>
      <c r="D118" s="173">
        <v>2521282202</v>
      </c>
      <c r="E118" s="172">
        <v>828996583</v>
      </c>
      <c r="F118" s="164" t="s">
        <v>252</v>
      </c>
      <c r="G118" s="171">
        <v>33911</v>
      </c>
      <c r="H118" s="54">
        <f ca="1">DATEDIF(G118,TODAY(),"Y")</f>
        <v>24</v>
      </c>
      <c r="I118" s="170" t="str">
        <f>CHOOSE(MONTH(G118),"January","February","March","April","May","June","July","August","September","October","November","December")</f>
        <v>November</v>
      </c>
      <c r="J118" s="55"/>
      <c r="K118" s="56">
        <v>17654</v>
      </c>
      <c r="L118" s="169">
        <v>5</v>
      </c>
    </row>
    <row r="119" spans="1:12" x14ac:dyDescent="0.25">
      <c r="A119" s="164" t="s">
        <v>458</v>
      </c>
      <c r="B119" s="164" t="s">
        <v>391</v>
      </c>
      <c r="C119" s="174" t="s">
        <v>285</v>
      </c>
      <c r="D119" s="173">
        <v>9193451072</v>
      </c>
      <c r="E119" s="172">
        <v>195245117</v>
      </c>
      <c r="F119" s="164" t="s">
        <v>252</v>
      </c>
      <c r="G119" s="171">
        <v>36401</v>
      </c>
      <c r="H119" s="54">
        <f ca="1">DATEDIF(G119,TODAY(),"Y")</f>
        <v>17</v>
      </c>
      <c r="I119" s="170" t="str">
        <f>CHOOSE(MONTH(G119),"January","February","March","April","May","June","July","August","September","October","November","December")</f>
        <v>August</v>
      </c>
      <c r="J119" s="55"/>
      <c r="K119" s="56">
        <v>15211</v>
      </c>
      <c r="L119" s="169">
        <v>2</v>
      </c>
    </row>
    <row r="120" spans="1:12" x14ac:dyDescent="0.25">
      <c r="A120" s="164" t="s">
        <v>324</v>
      </c>
      <c r="B120" s="164" t="s">
        <v>391</v>
      </c>
      <c r="C120" s="174" t="s">
        <v>271</v>
      </c>
      <c r="D120" s="173">
        <v>2527230063</v>
      </c>
      <c r="E120" s="172">
        <v>526188716</v>
      </c>
      <c r="F120" s="164" t="s">
        <v>247</v>
      </c>
      <c r="G120" s="171">
        <v>36687</v>
      </c>
      <c r="H120" s="54">
        <f ca="1">DATEDIF(G120,TODAY(),"Y")</f>
        <v>16</v>
      </c>
      <c r="I120" s="170" t="str">
        <f>CHOOSE(MONTH(G120),"January","February","March","April","May","June","July","August","September","October","November","December")</f>
        <v>June</v>
      </c>
      <c r="J120" s="55"/>
      <c r="K120" s="56">
        <v>77364</v>
      </c>
      <c r="L120" s="169">
        <v>3</v>
      </c>
    </row>
    <row r="121" spans="1:12" x14ac:dyDescent="0.25">
      <c r="A121" s="164" t="s">
        <v>805</v>
      </c>
      <c r="B121" s="164" t="s">
        <v>391</v>
      </c>
      <c r="C121" s="174" t="s">
        <v>266</v>
      </c>
      <c r="D121" s="173">
        <v>2526742736</v>
      </c>
      <c r="E121" s="172">
        <v>291798311</v>
      </c>
      <c r="F121" s="164" t="s">
        <v>256</v>
      </c>
      <c r="G121" s="171">
        <v>36215</v>
      </c>
      <c r="H121" s="54">
        <f ca="1">DATEDIF(G121,TODAY(),"Y")</f>
        <v>17</v>
      </c>
      <c r="I121" s="170" t="str">
        <f>CHOOSE(MONTH(G121),"January","February","March","April","May","June","July","August","September","October","November","December")</f>
        <v>February</v>
      </c>
      <c r="J121" s="55" t="s">
        <v>257</v>
      </c>
      <c r="K121" s="56">
        <v>96144</v>
      </c>
      <c r="L121" s="169">
        <v>4</v>
      </c>
    </row>
    <row r="122" spans="1:12" x14ac:dyDescent="0.25">
      <c r="A122" s="164" t="s">
        <v>816</v>
      </c>
      <c r="B122" s="164" t="s">
        <v>391</v>
      </c>
      <c r="C122" s="174" t="s">
        <v>245</v>
      </c>
      <c r="D122" s="173">
        <v>9192387348</v>
      </c>
      <c r="E122" s="172">
        <v>681596577</v>
      </c>
      <c r="F122" s="164" t="s">
        <v>247</v>
      </c>
      <c r="G122" s="171">
        <v>35878</v>
      </c>
      <c r="H122" s="54">
        <f ca="1">DATEDIF(G122,TODAY(),"Y")</f>
        <v>18</v>
      </c>
      <c r="I122" s="170" t="str">
        <f>CHOOSE(MONTH(G122),"January","February","March","April","May","June","July","August","September","October","November","December")</f>
        <v>March</v>
      </c>
      <c r="J122" s="55"/>
      <c r="K122" s="56">
        <v>42312</v>
      </c>
      <c r="L122" s="169">
        <v>2</v>
      </c>
    </row>
    <row r="123" spans="1:12" x14ac:dyDescent="0.25">
      <c r="A123" s="164" t="s">
        <v>375</v>
      </c>
      <c r="B123" s="164" t="s">
        <v>391</v>
      </c>
      <c r="C123" s="174" t="s">
        <v>251</v>
      </c>
      <c r="D123" s="173">
        <v>2522715355</v>
      </c>
      <c r="E123" s="172">
        <v>843875501</v>
      </c>
      <c r="F123" s="164" t="s">
        <v>247</v>
      </c>
      <c r="G123" s="171">
        <v>36904</v>
      </c>
      <c r="H123" s="54">
        <f ca="1">DATEDIF(G123,TODAY(),"Y")</f>
        <v>15</v>
      </c>
      <c r="I123" s="170" t="str">
        <f>CHOOSE(MONTH(G123),"January","February","March","April","May","June","July","August","September","October","November","December")</f>
        <v>January</v>
      </c>
      <c r="J123" s="55"/>
      <c r="K123" s="56">
        <v>39528</v>
      </c>
      <c r="L123" s="169">
        <v>5</v>
      </c>
    </row>
    <row r="124" spans="1:12" x14ac:dyDescent="0.25">
      <c r="A124" s="164" t="s">
        <v>539</v>
      </c>
      <c r="B124" s="164" t="s">
        <v>391</v>
      </c>
      <c r="C124" s="174" t="s">
        <v>280</v>
      </c>
      <c r="D124" s="173">
        <v>2528577225</v>
      </c>
      <c r="E124" s="172">
        <v>581823751</v>
      </c>
      <c r="F124" s="164" t="s">
        <v>247</v>
      </c>
      <c r="G124" s="171">
        <v>38395</v>
      </c>
      <c r="H124" s="54">
        <f ca="1">DATEDIF(G124,TODAY(),"Y")</f>
        <v>11</v>
      </c>
      <c r="I124" s="170" t="str">
        <f>CHOOSE(MONTH(G124),"January","February","March","April","May","June","July","August","September","October","November","December")</f>
        <v>February</v>
      </c>
      <c r="J124" s="55"/>
      <c r="K124" s="56">
        <v>88068</v>
      </c>
      <c r="L124" s="169">
        <v>2</v>
      </c>
    </row>
    <row r="125" spans="1:12" x14ac:dyDescent="0.25">
      <c r="A125" s="164" t="s">
        <v>975</v>
      </c>
      <c r="B125" s="164" t="s">
        <v>391</v>
      </c>
      <c r="C125" s="174" t="s">
        <v>251</v>
      </c>
      <c r="D125" s="176">
        <v>2526738901</v>
      </c>
      <c r="E125" s="172">
        <v>938508346</v>
      </c>
      <c r="F125" s="164" t="s">
        <v>247</v>
      </c>
      <c r="G125" s="171">
        <v>33973</v>
      </c>
      <c r="H125" s="54">
        <f ca="1">DATEDIF(G125,TODAY(),"Y")</f>
        <v>23</v>
      </c>
      <c r="I125" s="170" t="str">
        <f>CHOOSE(MONTH(G125),"January","February","March","April","May","June","July","August","September","October","November","December")</f>
        <v>January</v>
      </c>
      <c r="J125" s="55"/>
      <c r="K125" s="56">
        <v>96060</v>
      </c>
      <c r="L125" s="169">
        <v>2</v>
      </c>
    </row>
    <row r="126" spans="1:12" x14ac:dyDescent="0.25">
      <c r="A126" s="164" t="s">
        <v>895</v>
      </c>
      <c r="B126" s="164" t="s">
        <v>391</v>
      </c>
      <c r="C126" s="174" t="s">
        <v>285</v>
      </c>
      <c r="D126" s="173">
        <v>9196756847</v>
      </c>
      <c r="E126" s="172">
        <v>685953695</v>
      </c>
      <c r="F126" s="164" t="s">
        <v>256</v>
      </c>
      <c r="G126" s="171">
        <v>34551</v>
      </c>
      <c r="H126" s="54">
        <f ca="1">DATEDIF(G126,TODAY(),"Y")</f>
        <v>22</v>
      </c>
      <c r="I126" s="170" t="str">
        <f>CHOOSE(MONTH(G126),"January","February","March","April","May","June","July","August","September","October","November","December")</f>
        <v>August</v>
      </c>
      <c r="J126" s="55" t="s">
        <v>283</v>
      </c>
      <c r="K126" s="56">
        <v>99312</v>
      </c>
      <c r="L126" s="169">
        <v>4</v>
      </c>
    </row>
    <row r="127" spans="1:12" x14ac:dyDescent="0.25">
      <c r="A127" s="164" t="s">
        <v>819</v>
      </c>
      <c r="B127" s="164" t="s">
        <v>391</v>
      </c>
      <c r="C127" s="174" t="s">
        <v>285</v>
      </c>
      <c r="D127" s="173">
        <v>9197111802</v>
      </c>
      <c r="E127" s="172">
        <v>694800128</v>
      </c>
      <c r="F127" s="164" t="s">
        <v>256</v>
      </c>
      <c r="G127" s="171">
        <v>36997</v>
      </c>
      <c r="H127" s="54">
        <f ca="1">DATEDIF(G127,TODAY(),"Y")</f>
        <v>15</v>
      </c>
      <c r="I127" s="170" t="str">
        <f>CHOOSE(MONTH(G127),"January","February","March","April","May","June","July","August","September","October","November","December")</f>
        <v>April</v>
      </c>
      <c r="J127" s="55" t="s">
        <v>283</v>
      </c>
      <c r="K127" s="56">
        <v>73596</v>
      </c>
      <c r="L127" s="169">
        <v>1</v>
      </c>
    </row>
    <row r="128" spans="1:12" x14ac:dyDescent="0.25">
      <c r="A128" s="164" t="s">
        <v>344</v>
      </c>
      <c r="B128" s="164" t="s">
        <v>391</v>
      </c>
      <c r="C128" s="174" t="s">
        <v>245</v>
      </c>
      <c r="D128" s="173">
        <v>9191653055</v>
      </c>
      <c r="E128" s="172">
        <v>719937584</v>
      </c>
      <c r="F128" s="164" t="s">
        <v>256</v>
      </c>
      <c r="G128" s="171">
        <v>34175</v>
      </c>
      <c r="H128" s="54">
        <f ca="1">DATEDIF(G128,TODAY(),"Y")</f>
        <v>23</v>
      </c>
      <c r="I128" s="170" t="str">
        <f>CHOOSE(MONTH(G128),"January","February","March","April","May","June","July","August","September","October","November","December")</f>
        <v>July</v>
      </c>
      <c r="J128" s="55" t="s">
        <v>283</v>
      </c>
      <c r="K128" s="56">
        <v>45144</v>
      </c>
      <c r="L128" s="169">
        <v>5</v>
      </c>
    </row>
    <row r="129" spans="1:12" x14ac:dyDescent="0.25">
      <c r="A129" s="164" t="s">
        <v>569</v>
      </c>
      <c r="B129" s="164" t="s">
        <v>391</v>
      </c>
      <c r="C129" s="174" t="s">
        <v>285</v>
      </c>
      <c r="D129" s="173">
        <v>9194983657</v>
      </c>
      <c r="E129" s="172">
        <v>585815837</v>
      </c>
      <c r="F129" s="164" t="s">
        <v>261</v>
      </c>
      <c r="G129" s="171">
        <v>34722</v>
      </c>
      <c r="H129" s="54">
        <f ca="1">DATEDIF(G129,TODAY(),"Y")</f>
        <v>21</v>
      </c>
      <c r="I129" s="170" t="str">
        <f>CHOOSE(MONTH(G129),"January","February","March","April","May","June","July","August","September","October","November","December")</f>
        <v>January</v>
      </c>
      <c r="J129" s="55" t="s">
        <v>276</v>
      </c>
      <c r="K129" s="56">
        <v>22386</v>
      </c>
      <c r="L129" s="169">
        <v>4</v>
      </c>
    </row>
    <row r="130" spans="1:12" x14ac:dyDescent="0.25">
      <c r="A130" s="164" t="s">
        <v>579</v>
      </c>
      <c r="B130" s="164" t="s">
        <v>391</v>
      </c>
      <c r="C130" s="174" t="s">
        <v>271</v>
      </c>
      <c r="D130" s="173">
        <v>2525786813</v>
      </c>
      <c r="E130" s="172">
        <v>690374765</v>
      </c>
      <c r="F130" s="164" t="s">
        <v>256</v>
      </c>
      <c r="G130" s="171">
        <v>34341</v>
      </c>
      <c r="H130" s="54">
        <f ca="1">DATEDIF(G130,TODAY(),"Y")</f>
        <v>22</v>
      </c>
      <c r="I130" s="170" t="str">
        <f>CHOOSE(MONTH(G130),"January","February","March","April","May","June","July","August","September","October","November","December")</f>
        <v>January</v>
      </c>
      <c r="J130" s="55" t="s">
        <v>267</v>
      </c>
      <c r="K130" s="56">
        <v>99000</v>
      </c>
      <c r="L130" s="169">
        <v>5</v>
      </c>
    </row>
    <row r="131" spans="1:12" x14ac:dyDescent="0.25">
      <c r="A131" s="164" t="s">
        <v>1002</v>
      </c>
      <c r="B131" s="164" t="s">
        <v>391</v>
      </c>
      <c r="C131" s="174" t="s">
        <v>271</v>
      </c>
      <c r="D131" s="173">
        <v>9191472895</v>
      </c>
      <c r="E131" s="172">
        <v>197789466</v>
      </c>
      <c r="F131" s="164" t="s">
        <v>247</v>
      </c>
      <c r="G131" s="171">
        <v>36465</v>
      </c>
      <c r="H131" s="54">
        <f ca="1">DATEDIF(G131,TODAY(),"Y")</f>
        <v>17</v>
      </c>
      <c r="I131" s="170" t="str">
        <f>CHOOSE(MONTH(G131),"January","February","March","April","May","June","July","August","September","October","November","December")</f>
        <v>November</v>
      </c>
      <c r="J131" s="55"/>
      <c r="K131" s="56">
        <v>91224</v>
      </c>
      <c r="L131" s="169">
        <v>1</v>
      </c>
    </row>
    <row r="132" spans="1:12" x14ac:dyDescent="0.25">
      <c r="A132" s="164" t="s">
        <v>378</v>
      </c>
      <c r="B132" s="164" t="s">
        <v>391</v>
      </c>
      <c r="C132" s="174" t="s">
        <v>271</v>
      </c>
      <c r="D132" s="173">
        <v>2523327522</v>
      </c>
      <c r="E132" s="172">
        <v>469591073</v>
      </c>
      <c r="F132" s="164" t="s">
        <v>256</v>
      </c>
      <c r="G132" s="171">
        <v>37841</v>
      </c>
      <c r="H132" s="54">
        <f ca="1">DATEDIF(G132,TODAY(),"Y")</f>
        <v>13</v>
      </c>
      <c r="I132" s="170" t="str">
        <f>CHOOSE(MONTH(G132),"January","February","March","April","May","June","July","August","September","October","November","December")</f>
        <v>August</v>
      </c>
      <c r="J132" s="55" t="s">
        <v>267</v>
      </c>
      <c r="K132" s="56">
        <v>73380</v>
      </c>
      <c r="L132" s="169">
        <v>4</v>
      </c>
    </row>
    <row r="133" spans="1:12" x14ac:dyDescent="0.25">
      <c r="A133" s="164" t="s">
        <v>474</v>
      </c>
      <c r="B133" s="164" t="s">
        <v>411</v>
      </c>
      <c r="C133" s="174" t="s">
        <v>245</v>
      </c>
      <c r="D133" s="173">
        <v>9196082608</v>
      </c>
      <c r="E133" s="172">
        <v>914041569</v>
      </c>
      <c r="F133" s="164" t="s">
        <v>256</v>
      </c>
      <c r="G133" s="171">
        <v>41128</v>
      </c>
      <c r="H133" s="54">
        <f ca="1">DATEDIF(G133,TODAY(),"Y")</f>
        <v>4</v>
      </c>
      <c r="I133" s="170" t="str">
        <f>CHOOSE(MONTH(G133),"January","February","March","April","May","June","July","August","September","October","November","December")</f>
        <v>August</v>
      </c>
      <c r="J133" s="55" t="s">
        <v>283</v>
      </c>
      <c r="K133" s="56">
        <v>94980</v>
      </c>
      <c r="L133" s="169">
        <v>2</v>
      </c>
    </row>
    <row r="134" spans="1:12" x14ac:dyDescent="0.25">
      <c r="A134" s="164" t="s">
        <v>480</v>
      </c>
      <c r="B134" s="164" t="s">
        <v>411</v>
      </c>
      <c r="C134" s="174" t="s">
        <v>285</v>
      </c>
      <c r="D134" s="173">
        <v>9191299076</v>
      </c>
      <c r="E134" s="172">
        <v>699053064</v>
      </c>
      <c r="F134" s="164" t="s">
        <v>247</v>
      </c>
      <c r="G134" s="171">
        <v>39255</v>
      </c>
      <c r="H134" s="54">
        <f ca="1">DATEDIF(G134,TODAY(),"Y")</f>
        <v>9</v>
      </c>
      <c r="I134" s="170" t="str">
        <f>CHOOSE(MONTH(G134),"January","February","March","April","May","June","July","August","September","October","November","December")</f>
        <v>June</v>
      </c>
      <c r="J134" s="55"/>
      <c r="K134" s="56">
        <v>72072</v>
      </c>
      <c r="L134" s="169">
        <v>2</v>
      </c>
    </row>
    <row r="135" spans="1:12" x14ac:dyDescent="0.25">
      <c r="A135" s="175" t="s">
        <v>270</v>
      </c>
      <c r="B135" s="164" t="s">
        <v>411</v>
      </c>
      <c r="C135" s="174" t="s">
        <v>285</v>
      </c>
      <c r="D135" s="173">
        <v>2527838614</v>
      </c>
      <c r="E135" s="172">
        <v>850210766</v>
      </c>
      <c r="F135" s="164" t="s">
        <v>256</v>
      </c>
      <c r="G135" s="171">
        <v>39315</v>
      </c>
      <c r="H135" s="54">
        <f ca="1">DATEDIF(G135,TODAY(),"Y")</f>
        <v>9</v>
      </c>
      <c r="I135" s="170" t="str">
        <f>CHOOSE(MONTH(G135),"January","February","March","April","May","June","July","August","September","October","November","December")</f>
        <v>August</v>
      </c>
      <c r="J135" s="55" t="s">
        <v>257</v>
      </c>
      <c r="K135" s="56">
        <v>56820</v>
      </c>
      <c r="L135" s="169">
        <v>5</v>
      </c>
    </row>
    <row r="136" spans="1:12" x14ac:dyDescent="0.25">
      <c r="A136" s="164" t="s">
        <v>394</v>
      </c>
      <c r="B136" s="164" t="s">
        <v>411</v>
      </c>
      <c r="C136" s="174" t="s">
        <v>271</v>
      </c>
      <c r="D136" s="173">
        <v>2521696804</v>
      </c>
      <c r="E136" s="172">
        <v>999789446</v>
      </c>
      <c r="F136" s="164" t="s">
        <v>256</v>
      </c>
      <c r="G136" s="171">
        <v>36057</v>
      </c>
      <c r="H136" s="54">
        <f ca="1">DATEDIF(G136,TODAY(),"Y")</f>
        <v>18</v>
      </c>
      <c r="I136" s="170" t="str">
        <f>CHOOSE(MONTH(G136),"January","February","March","April","May","June","July","August","September","October","November","December")</f>
        <v>September</v>
      </c>
      <c r="J136" s="55" t="s">
        <v>257</v>
      </c>
      <c r="K136" s="56">
        <v>80088</v>
      </c>
      <c r="L136" s="169">
        <v>2</v>
      </c>
    </row>
    <row r="137" spans="1:12" x14ac:dyDescent="0.25">
      <c r="A137" s="164" t="s">
        <v>292</v>
      </c>
      <c r="B137" s="164" t="s">
        <v>411</v>
      </c>
      <c r="C137" s="174" t="s">
        <v>245</v>
      </c>
      <c r="D137" s="173">
        <v>9196188082</v>
      </c>
      <c r="E137" s="172">
        <v>885773638</v>
      </c>
      <c r="F137" s="164" t="s">
        <v>256</v>
      </c>
      <c r="G137" s="171">
        <v>37297</v>
      </c>
      <c r="H137" s="54">
        <f ca="1">DATEDIF(G137,TODAY(),"Y")</f>
        <v>14</v>
      </c>
      <c r="I137" s="170" t="str">
        <f>CHOOSE(MONTH(G137),"January","February","March","April","May","June","July","August","September","October","November","December")</f>
        <v>February</v>
      </c>
      <c r="J137" s="55" t="s">
        <v>283</v>
      </c>
      <c r="K137" s="56">
        <v>90072</v>
      </c>
      <c r="L137" s="169">
        <v>5</v>
      </c>
    </row>
    <row r="138" spans="1:12" x14ac:dyDescent="0.25">
      <c r="A138" s="164" t="s">
        <v>677</v>
      </c>
      <c r="B138" s="164" t="s">
        <v>417</v>
      </c>
      <c r="C138" s="174" t="s">
        <v>285</v>
      </c>
      <c r="D138" s="173">
        <v>9193089561</v>
      </c>
      <c r="E138" s="172">
        <v>659929807</v>
      </c>
      <c r="F138" s="164" t="s">
        <v>256</v>
      </c>
      <c r="G138" s="171">
        <v>39481</v>
      </c>
      <c r="H138" s="54">
        <f ca="1">DATEDIF(G138,TODAY(),"Y")</f>
        <v>8</v>
      </c>
      <c r="I138" s="170" t="str">
        <f>CHOOSE(MONTH(G138),"January","February","March","April","May","June","July","August","September","October","November","December")</f>
        <v>February</v>
      </c>
      <c r="J138" s="55" t="s">
        <v>257</v>
      </c>
      <c r="K138" s="56">
        <v>26892</v>
      </c>
      <c r="L138" s="169">
        <v>4</v>
      </c>
    </row>
    <row r="139" spans="1:12" x14ac:dyDescent="0.25">
      <c r="A139" s="164" t="s">
        <v>1024</v>
      </c>
      <c r="B139" s="164" t="s">
        <v>417</v>
      </c>
      <c r="C139" s="174" t="s">
        <v>285</v>
      </c>
      <c r="D139" s="173">
        <v>9196126835</v>
      </c>
      <c r="E139" s="172">
        <v>661397587</v>
      </c>
      <c r="F139" s="164" t="s">
        <v>247</v>
      </c>
      <c r="G139" s="171">
        <v>35640</v>
      </c>
      <c r="H139" s="54">
        <f ca="1">DATEDIF(G139,TODAY(),"Y")</f>
        <v>19</v>
      </c>
      <c r="I139" s="170" t="str">
        <f>CHOOSE(MONTH(G139),"January","February","March","April","May","June","July","August","September","October","November","December")</f>
        <v>July</v>
      </c>
      <c r="J139" s="55"/>
      <c r="K139" s="56">
        <v>48672</v>
      </c>
      <c r="L139" s="169">
        <v>5</v>
      </c>
    </row>
    <row r="140" spans="1:12" x14ac:dyDescent="0.25">
      <c r="A140" s="164" t="s">
        <v>679</v>
      </c>
      <c r="B140" s="164" t="s">
        <v>417</v>
      </c>
      <c r="C140" s="174" t="s">
        <v>251</v>
      </c>
      <c r="D140" s="173">
        <v>2524697218</v>
      </c>
      <c r="E140" s="172">
        <v>105708355</v>
      </c>
      <c r="F140" s="164" t="s">
        <v>256</v>
      </c>
      <c r="G140" s="171">
        <v>36717</v>
      </c>
      <c r="H140" s="54">
        <f ca="1">DATEDIF(G140,TODAY(),"Y")</f>
        <v>16</v>
      </c>
      <c r="I140" s="170" t="str">
        <f>CHOOSE(MONTH(G140),"January","February","March","April","May","June","July","August","September","October","November","December")</f>
        <v>July</v>
      </c>
      <c r="J140" s="55" t="s">
        <v>262</v>
      </c>
      <c r="K140" s="56">
        <v>85212</v>
      </c>
      <c r="L140" s="169">
        <v>5</v>
      </c>
    </row>
    <row r="141" spans="1:12" x14ac:dyDescent="0.25">
      <c r="A141" s="164" t="s">
        <v>472</v>
      </c>
      <c r="B141" s="164" t="s">
        <v>417</v>
      </c>
      <c r="C141" s="174" t="s">
        <v>271</v>
      </c>
      <c r="D141" s="173">
        <v>2526500529</v>
      </c>
      <c r="E141" s="172">
        <v>518690148</v>
      </c>
      <c r="F141" s="164" t="s">
        <v>256</v>
      </c>
      <c r="G141" s="171">
        <v>41127</v>
      </c>
      <c r="H141" s="54">
        <f ca="1">DATEDIF(G141,TODAY(),"Y")</f>
        <v>4</v>
      </c>
      <c r="I141" s="170" t="str">
        <f>CHOOSE(MONTH(G141),"January","February","March","April","May","June","July","August","September","October","November","December")</f>
        <v>August</v>
      </c>
      <c r="J141" s="55" t="s">
        <v>267</v>
      </c>
      <c r="K141" s="56">
        <v>39168</v>
      </c>
      <c r="L141" s="169">
        <v>4</v>
      </c>
    </row>
    <row r="142" spans="1:12" x14ac:dyDescent="0.25">
      <c r="A142" s="164" t="s">
        <v>490</v>
      </c>
      <c r="B142" s="164" t="s">
        <v>417</v>
      </c>
      <c r="C142" s="174" t="s">
        <v>271</v>
      </c>
      <c r="D142" s="173">
        <v>9195968632</v>
      </c>
      <c r="E142" s="172">
        <v>407299017</v>
      </c>
      <c r="F142" s="164" t="s">
        <v>252</v>
      </c>
      <c r="G142" s="171">
        <v>40621</v>
      </c>
      <c r="H142" s="54">
        <f ca="1">DATEDIF(G142,TODAY(),"Y")</f>
        <v>5</v>
      </c>
      <c r="I142" s="170" t="str">
        <f>CHOOSE(MONTH(G142),"January","February","March","April","May","June","July","August","September","October","November","December")</f>
        <v>March</v>
      </c>
      <c r="J142" s="55"/>
      <c r="K142" s="56">
        <v>18893</v>
      </c>
      <c r="L142" s="169">
        <v>3</v>
      </c>
    </row>
    <row r="143" spans="1:12" x14ac:dyDescent="0.25">
      <c r="A143" s="164" t="s">
        <v>784</v>
      </c>
      <c r="B143" s="164" t="s">
        <v>417</v>
      </c>
      <c r="C143" s="174" t="s">
        <v>266</v>
      </c>
      <c r="D143" s="173">
        <v>2521156902</v>
      </c>
      <c r="E143" s="172">
        <v>956291859</v>
      </c>
      <c r="F143" s="164" t="s">
        <v>247</v>
      </c>
      <c r="G143" s="171">
        <v>40987</v>
      </c>
      <c r="H143" s="54">
        <f ca="1">DATEDIF(G143,TODAY(),"Y")</f>
        <v>4</v>
      </c>
      <c r="I143" s="170" t="str">
        <f>CHOOSE(MONTH(G143),"January","February","March","April","May","June","July","August","September","October","November","December")</f>
        <v>March</v>
      </c>
      <c r="J143" s="55"/>
      <c r="K143" s="56">
        <v>54852</v>
      </c>
      <c r="L143" s="169">
        <v>3</v>
      </c>
    </row>
    <row r="144" spans="1:12" x14ac:dyDescent="0.25">
      <c r="A144" s="175" t="s">
        <v>277</v>
      </c>
      <c r="B144" s="164" t="s">
        <v>417</v>
      </c>
      <c r="C144" s="174" t="s">
        <v>285</v>
      </c>
      <c r="D144" s="173">
        <v>9195876028</v>
      </c>
      <c r="E144" s="172">
        <v>659766304</v>
      </c>
      <c r="F144" s="164" t="s">
        <v>256</v>
      </c>
      <c r="G144" s="171">
        <v>36229</v>
      </c>
      <c r="H144" s="54">
        <f ca="1">DATEDIF(G144,TODAY(),"Y")</f>
        <v>17</v>
      </c>
      <c r="I144" s="170" t="str">
        <f>CHOOSE(MONTH(G144),"January","February","March","April","May","June","July","August","September","October","November","December")</f>
        <v>March</v>
      </c>
      <c r="J144" s="55" t="s">
        <v>283</v>
      </c>
      <c r="K144" s="56">
        <v>45300</v>
      </c>
      <c r="L144" s="169">
        <v>5</v>
      </c>
    </row>
    <row r="145" spans="1:12" x14ac:dyDescent="0.25">
      <c r="A145" s="164" t="s">
        <v>498</v>
      </c>
      <c r="B145" s="164" t="s">
        <v>417</v>
      </c>
      <c r="C145" s="174" t="s">
        <v>271</v>
      </c>
      <c r="D145" s="173">
        <v>9191999230</v>
      </c>
      <c r="E145" s="172">
        <v>503349830</v>
      </c>
      <c r="F145" s="164" t="s">
        <v>256</v>
      </c>
      <c r="G145" s="171">
        <v>34133</v>
      </c>
      <c r="H145" s="54">
        <f ca="1">DATEDIF(G145,TODAY(),"Y")</f>
        <v>23</v>
      </c>
      <c r="I145" s="170" t="str">
        <f>CHOOSE(MONTH(G145),"January","February","March","April","May","June","July","August","September","October","November","December")</f>
        <v>June</v>
      </c>
      <c r="J145" s="55" t="s">
        <v>283</v>
      </c>
      <c r="K145" s="56">
        <v>38568</v>
      </c>
      <c r="L145" s="169">
        <v>2</v>
      </c>
    </row>
    <row r="146" spans="1:12" x14ac:dyDescent="0.25">
      <c r="A146" s="164" t="s">
        <v>753</v>
      </c>
      <c r="B146" s="164" t="s">
        <v>417</v>
      </c>
      <c r="C146" s="174" t="s">
        <v>271</v>
      </c>
      <c r="D146" s="173">
        <v>9194194193</v>
      </c>
      <c r="E146" s="172">
        <v>707553376</v>
      </c>
      <c r="F146" s="164" t="s">
        <v>256</v>
      </c>
      <c r="G146" s="171">
        <v>35812</v>
      </c>
      <c r="H146" s="54">
        <f ca="1">DATEDIF(G146,TODAY(),"Y")</f>
        <v>18</v>
      </c>
      <c r="I146" s="170" t="str">
        <f>CHOOSE(MONTH(G146),"January","February","March","April","May","June","July","August","September","October","November","December")</f>
        <v>January</v>
      </c>
      <c r="J146" s="55" t="s">
        <v>276</v>
      </c>
      <c r="K146" s="56">
        <v>59112</v>
      </c>
      <c r="L146" s="169">
        <v>3</v>
      </c>
    </row>
    <row r="147" spans="1:12" x14ac:dyDescent="0.25">
      <c r="A147" s="164" t="s">
        <v>422</v>
      </c>
      <c r="B147" s="164" t="s">
        <v>417</v>
      </c>
      <c r="C147" s="174" t="s">
        <v>271</v>
      </c>
      <c r="D147" s="173">
        <v>2527553017</v>
      </c>
      <c r="E147" s="172">
        <v>625531462</v>
      </c>
      <c r="F147" s="164" t="s">
        <v>256</v>
      </c>
      <c r="G147" s="171">
        <v>38016</v>
      </c>
      <c r="H147" s="54">
        <f ca="1">DATEDIF(G147,TODAY(),"Y")</f>
        <v>12</v>
      </c>
      <c r="I147" s="170" t="str">
        <f>CHOOSE(MONTH(G147),"January","February","March","April","May","June","July","August","September","October","November","December")</f>
        <v>January</v>
      </c>
      <c r="J147" s="55" t="s">
        <v>257</v>
      </c>
      <c r="K147" s="56">
        <v>50976</v>
      </c>
      <c r="L147" s="169">
        <v>3</v>
      </c>
    </row>
    <row r="148" spans="1:12" x14ac:dyDescent="0.25">
      <c r="A148" s="164" t="s">
        <v>506</v>
      </c>
      <c r="B148" s="164" t="s">
        <v>417</v>
      </c>
      <c r="C148" s="174" t="s">
        <v>285</v>
      </c>
      <c r="D148" s="173">
        <v>2524442207</v>
      </c>
      <c r="E148" s="172">
        <v>536516131</v>
      </c>
      <c r="F148" s="164" t="s">
        <v>256</v>
      </c>
      <c r="G148" s="171">
        <v>41198</v>
      </c>
      <c r="H148" s="54">
        <f ca="1">DATEDIF(G148,TODAY(),"Y")</f>
        <v>4</v>
      </c>
      <c r="I148" s="170" t="str">
        <f>CHOOSE(MONTH(G148),"January","February","March","April","May","June","July","August","September","October","November","December")</f>
        <v>October</v>
      </c>
      <c r="J148" s="55" t="s">
        <v>283</v>
      </c>
      <c r="K148" s="56">
        <v>51144</v>
      </c>
      <c r="L148" s="169">
        <v>3</v>
      </c>
    </row>
    <row r="149" spans="1:12" x14ac:dyDescent="0.25">
      <c r="A149" s="164" t="s">
        <v>321</v>
      </c>
      <c r="B149" s="164" t="s">
        <v>417</v>
      </c>
      <c r="C149" s="174" t="s">
        <v>271</v>
      </c>
      <c r="D149" s="173">
        <v>2527135797</v>
      </c>
      <c r="E149" s="172">
        <v>282972141</v>
      </c>
      <c r="F149" s="164" t="s">
        <v>247</v>
      </c>
      <c r="G149" s="171">
        <v>36667</v>
      </c>
      <c r="H149" s="54">
        <f ca="1">DATEDIF(G149,TODAY(),"Y")</f>
        <v>16</v>
      </c>
      <c r="I149" s="170" t="str">
        <f>CHOOSE(MONTH(G149),"January","February","March","April","May","June","July","August","September","October","November","December")</f>
        <v>May</v>
      </c>
      <c r="J149" s="55"/>
      <c r="K149" s="56">
        <v>30144</v>
      </c>
      <c r="L149" s="169">
        <v>5</v>
      </c>
    </row>
    <row r="150" spans="1:12" x14ac:dyDescent="0.25">
      <c r="A150" s="164" t="s">
        <v>516</v>
      </c>
      <c r="B150" s="164" t="s">
        <v>417</v>
      </c>
      <c r="C150" s="174" t="s">
        <v>245</v>
      </c>
      <c r="D150" s="173">
        <v>2522612740</v>
      </c>
      <c r="E150" s="172">
        <v>932787692</v>
      </c>
      <c r="F150" s="164" t="s">
        <v>247</v>
      </c>
      <c r="G150" s="171">
        <v>34889</v>
      </c>
      <c r="H150" s="54">
        <f ca="1">DATEDIF(G150,TODAY(),"Y")</f>
        <v>21</v>
      </c>
      <c r="I150" s="170" t="str">
        <f>CHOOSE(MONTH(G150),"January","February","March","April","May","June","July","August","September","October","November","December")</f>
        <v>July</v>
      </c>
      <c r="J150" s="55"/>
      <c r="K150" s="56">
        <v>76908</v>
      </c>
      <c r="L150" s="169">
        <v>2</v>
      </c>
    </row>
    <row r="151" spans="1:12" x14ac:dyDescent="0.25">
      <c r="A151" s="164" t="s">
        <v>528</v>
      </c>
      <c r="B151" s="164" t="s">
        <v>417</v>
      </c>
      <c r="C151" s="174" t="s">
        <v>285</v>
      </c>
      <c r="D151" s="173">
        <v>2525317859</v>
      </c>
      <c r="E151" s="172">
        <v>541365827</v>
      </c>
      <c r="F151" s="164" t="s">
        <v>256</v>
      </c>
      <c r="G151" s="171">
        <v>38863</v>
      </c>
      <c r="H151" s="54">
        <f ca="1">DATEDIF(G151,TODAY(),"Y")</f>
        <v>10</v>
      </c>
      <c r="I151" s="170" t="str">
        <f>CHOOSE(MONTH(G151),"January","February","March","April","May","June","July","August","September","October","November","December")</f>
        <v>May</v>
      </c>
      <c r="J151" s="55" t="s">
        <v>267</v>
      </c>
      <c r="K151" s="56">
        <v>78672</v>
      </c>
      <c r="L151" s="169">
        <v>1</v>
      </c>
    </row>
    <row r="152" spans="1:12" x14ac:dyDescent="0.25">
      <c r="A152" s="164" t="s">
        <v>533</v>
      </c>
      <c r="B152" s="164" t="s">
        <v>417</v>
      </c>
      <c r="C152" s="174" t="s">
        <v>245</v>
      </c>
      <c r="D152" s="173">
        <v>2523919445</v>
      </c>
      <c r="E152" s="172">
        <v>304068732</v>
      </c>
      <c r="F152" s="164" t="s">
        <v>261</v>
      </c>
      <c r="G152" s="171">
        <v>34437</v>
      </c>
      <c r="H152" s="54">
        <f ca="1">DATEDIF(G152,TODAY(),"Y")</f>
        <v>22</v>
      </c>
      <c r="I152" s="170" t="str">
        <f>CHOOSE(MONTH(G152),"January","February","March","April","May","June","July","August","September","October","November","December")</f>
        <v>April</v>
      </c>
      <c r="J152" s="55" t="s">
        <v>257</v>
      </c>
      <c r="K152" s="56">
        <v>40932</v>
      </c>
      <c r="L152" s="169">
        <v>4</v>
      </c>
    </row>
    <row r="153" spans="1:12" x14ac:dyDescent="0.25">
      <c r="A153" s="164" t="s">
        <v>969</v>
      </c>
      <c r="B153" s="164" t="s">
        <v>417</v>
      </c>
      <c r="C153" s="174" t="s">
        <v>285</v>
      </c>
      <c r="D153" s="173">
        <v>2526166452</v>
      </c>
      <c r="E153" s="172">
        <v>110184347</v>
      </c>
      <c r="F153" s="164" t="s">
        <v>256</v>
      </c>
      <c r="G153" s="171">
        <v>35981</v>
      </c>
      <c r="H153" s="54">
        <f ca="1">DATEDIF(G153,TODAY(),"Y")</f>
        <v>18</v>
      </c>
      <c r="I153" s="170" t="str">
        <f>CHOOSE(MONTH(G153),"January","February","March","April","May","June","July","August","September","October","November","December")</f>
        <v>July</v>
      </c>
      <c r="J153" s="55" t="s">
        <v>257</v>
      </c>
      <c r="K153" s="56">
        <v>76536</v>
      </c>
      <c r="L153" s="169">
        <v>5</v>
      </c>
    </row>
    <row r="154" spans="1:12" x14ac:dyDescent="0.25">
      <c r="A154" s="164" t="s">
        <v>397</v>
      </c>
      <c r="B154" s="164" t="s">
        <v>417</v>
      </c>
      <c r="C154" s="174" t="s">
        <v>285</v>
      </c>
      <c r="D154" s="173">
        <v>9198865267</v>
      </c>
      <c r="E154" s="172">
        <v>575648597</v>
      </c>
      <c r="F154" s="164" t="s">
        <v>247</v>
      </c>
      <c r="G154" s="171">
        <v>38369</v>
      </c>
      <c r="H154" s="54">
        <f ca="1">DATEDIF(G154,TODAY(),"Y")</f>
        <v>11</v>
      </c>
      <c r="I154" s="170" t="str">
        <f>CHOOSE(MONTH(G154),"January","February","March","April","May","June","July","August","September","October","November","December")</f>
        <v>January</v>
      </c>
      <c r="J154" s="55"/>
      <c r="K154" s="56">
        <v>38364</v>
      </c>
      <c r="L154" s="169">
        <v>5</v>
      </c>
    </row>
    <row r="155" spans="1:12" x14ac:dyDescent="0.25">
      <c r="A155" s="164" t="s">
        <v>1027</v>
      </c>
      <c r="B155" s="164" t="s">
        <v>417</v>
      </c>
      <c r="C155" s="174" t="s">
        <v>245</v>
      </c>
      <c r="D155" s="173">
        <v>9196097340</v>
      </c>
      <c r="E155" s="172">
        <v>870601943</v>
      </c>
      <c r="F155" s="164" t="s">
        <v>247</v>
      </c>
      <c r="G155" s="171">
        <v>35489</v>
      </c>
      <c r="H155" s="54">
        <f ca="1">DATEDIF(G155,TODAY(),"Y")</f>
        <v>19</v>
      </c>
      <c r="I155" s="170" t="str">
        <f>CHOOSE(MONTH(G155),"January","February","March","April","May","June","July","August","September","October","November","December")</f>
        <v>February</v>
      </c>
      <c r="J155" s="55"/>
      <c r="K155" s="56">
        <v>54048</v>
      </c>
      <c r="L155" s="169">
        <v>5</v>
      </c>
    </row>
    <row r="156" spans="1:12" x14ac:dyDescent="0.25">
      <c r="A156" s="164" t="s">
        <v>822</v>
      </c>
      <c r="B156" s="164" t="s">
        <v>417</v>
      </c>
      <c r="C156" s="174" t="s">
        <v>271</v>
      </c>
      <c r="D156" s="173">
        <v>2524562999</v>
      </c>
      <c r="E156" s="172">
        <v>736688620</v>
      </c>
      <c r="F156" s="164" t="s">
        <v>261</v>
      </c>
      <c r="G156" s="171">
        <v>40496</v>
      </c>
      <c r="H156" s="54">
        <f ca="1">DATEDIF(G156,TODAY(),"Y")</f>
        <v>5</v>
      </c>
      <c r="I156" s="170" t="str">
        <f>CHOOSE(MONTH(G156),"January","February","March","April","May","June","July","August","September","October","November","December")</f>
        <v>November</v>
      </c>
      <c r="J156" s="55" t="s">
        <v>257</v>
      </c>
      <c r="K156" s="56">
        <v>47418</v>
      </c>
      <c r="L156" s="169">
        <v>5</v>
      </c>
    </row>
    <row r="157" spans="1:12" x14ac:dyDescent="0.25">
      <c r="A157" s="164" t="s">
        <v>543</v>
      </c>
      <c r="B157" s="164" t="s">
        <v>417</v>
      </c>
      <c r="C157" s="174" t="s">
        <v>285</v>
      </c>
      <c r="D157" s="173">
        <v>9197508998</v>
      </c>
      <c r="E157" s="172">
        <v>393051351</v>
      </c>
      <c r="F157" s="164" t="s">
        <v>261</v>
      </c>
      <c r="G157" s="171">
        <v>35914</v>
      </c>
      <c r="H157" s="54">
        <f ca="1">DATEDIF(G157,TODAY(),"Y")</f>
        <v>18</v>
      </c>
      <c r="I157" s="170" t="str">
        <f>CHOOSE(MONTH(G157),"January","February","March","April","May","June","July","August","September","October","November","December")</f>
        <v>April</v>
      </c>
      <c r="J157" s="55" t="s">
        <v>276</v>
      </c>
      <c r="K157" s="56">
        <v>39402</v>
      </c>
      <c r="L157" s="169">
        <v>2</v>
      </c>
    </row>
    <row r="158" spans="1:12" x14ac:dyDescent="0.25">
      <c r="A158" s="164" t="s">
        <v>544</v>
      </c>
      <c r="B158" s="164" t="s">
        <v>417</v>
      </c>
      <c r="C158" s="174" t="s">
        <v>251</v>
      </c>
      <c r="D158" s="173">
        <v>2522338778</v>
      </c>
      <c r="E158" s="172">
        <v>993867417</v>
      </c>
      <c r="F158" s="164" t="s">
        <v>256</v>
      </c>
      <c r="G158" s="171">
        <v>34651</v>
      </c>
      <c r="H158" s="54">
        <f ca="1">DATEDIF(G158,TODAY(),"Y")</f>
        <v>21</v>
      </c>
      <c r="I158" s="170" t="str">
        <f>CHOOSE(MONTH(G158),"January","February","March","April","May","June","July","August","September","October","November","December")</f>
        <v>November</v>
      </c>
      <c r="J158" s="55" t="s">
        <v>283</v>
      </c>
      <c r="K158" s="56">
        <v>55608</v>
      </c>
      <c r="L158" s="169">
        <v>5</v>
      </c>
    </row>
    <row r="159" spans="1:12" x14ac:dyDescent="0.25">
      <c r="A159" s="164" t="s">
        <v>900</v>
      </c>
      <c r="B159" s="164" t="s">
        <v>417</v>
      </c>
      <c r="C159" s="174" t="s">
        <v>271</v>
      </c>
      <c r="D159" s="173">
        <v>2526563683</v>
      </c>
      <c r="E159" s="172">
        <v>113699123</v>
      </c>
      <c r="F159" s="164" t="s">
        <v>256</v>
      </c>
      <c r="G159" s="171">
        <v>33845</v>
      </c>
      <c r="H159" s="54">
        <f ca="1">DATEDIF(G159,TODAY(),"Y")</f>
        <v>24</v>
      </c>
      <c r="I159" s="170" t="str">
        <f>CHOOSE(MONTH(G159),"January","February","March","April","May","June","July","August","September","October","November","December")</f>
        <v>August</v>
      </c>
      <c r="J159" s="55" t="s">
        <v>267</v>
      </c>
      <c r="K159" s="56">
        <v>42432</v>
      </c>
      <c r="L159" s="169">
        <v>5</v>
      </c>
    </row>
    <row r="160" spans="1:12" x14ac:dyDescent="0.25">
      <c r="A160" s="164" t="s">
        <v>558</v>
      </c>
      <c r="B160" s="164" t="s">
        <v>417</v>
      </c>
      <c r="C160" s="174" t="s">
        <v>285</v>
      </c>
      <c r="D160" s="173">
        <v>9191559081</v>
      </c>
      <c r="E160" s="172">
        <v>425598783</v>
      </c>
      <c r="F160" s="164" t="s">
        <v>261</v>
      </c>
      <c r="G160" s="171">
        <v>35798</v>
      </c>
      <c r="H160" s="54">
        <f ca="1">DATEDIF(G160,TODAY(),"Y")</f>
        <v>18</v>
      </c>
      <c r="I160" s="170" t="str">
        <f>CHOOSE(MONTH(G160),"January","February","March","April","May","June","July","August","September","October","November","December")</f>
        <v>January</v>
      </c>
      <c r="J160" s="55" t="s">
        <v>276</v>
      </c>
      <c r="K160" s="56">
        <v>25464</v>
      </c>
      <c r="L160" s="169">
        <v>3</v>
      </c>
    </row>
    <row r="161" spans="1:12" x14ac:dyDescent="0.25">
      <c r="A161" s="164" t="s">
        <v>659</v>
      </c>
      <c r="B161" s="164" t="s">
        <v>417</v>
      </c>
      <c r="C161" s="174" t="s">
        <v>245</v>
      </c>
      <c r="D161" s="173">
        <v>9195508095</v>
      </c>
      <c r="E161" s="172">
        <v>429283827</v>
      </c>
      <c r="F161" s="164" t="s">
        <v>256</v>
      </c>
      <c r="G161" s="171">
        <v>37371</v>
      </c>
      <c r="H161" s="54">
        <f ca="1">DATEDIF(G161,TODAY(),"Y")</f>
        <v>14</v>
      </c>
      <c r="I161" s="170" t="str">
        <f>CHOOSE(MONTH(G161),"January","February","March","April","May","June","July","August","September","October","November","December")</f>
        <v>April</v>
      </c>
      <c r="J161" s="55" t="s">
        <v>283</v>
      </c>
      <c r="K161" s="56">
        <v>85656</v>
      </c>
      <c r="L161" s="169">
        <v>2</v>
      </c>
    </row>
    <row r="162" spans="1:12" x14ac:dyDescent="0.25">
      <c r="A162" s="164" t="s">
        <v>439</v>
      </c>
      <c r="B162" s="164" t="s">
        <v>417</v>
      </c>
      <c r="C162" s="174" t="s">
        <v>280</v>
      </c>
      <c r="D162" s="173">
        <v>2522381391</v>
      </c>
      <c r="E162" s="172">
        <v>279591317</v>
      </c>
      <c r="F162" s="164" t="s">
        <v>252</v>
      </c>
      <c r="G162" s="171">
        <v>36991</v>
      </c>
      <c r="H162" s="54">
        <f ca="1">DATEDIF(G162,TODAY(),"Y")</f>
        <v>15</v>
      </c>
      <c r="I162" s="170" t="str">
        <f>CHOOSE(MONTH(G162),"January","February","March","April","May","June","July","August","September","October","November","December")</f>
        <v>April</v>
      </c>
      <c r="J162" s="55"/>
      <c r="K162" s="56">
        <v>46522</v>
      </c>
      <c r="L162" s="169">
        <v>4</v>
      </c>
    </row>
    <row r="163" spans="1:12" x14ac:dyDescent="0.25">
      <c r="A163" s="164" t="s">
        <v>908</v>
      </c>
      <c r="B163" s="164" t="s">
        <v>417</v>
      </c>
      <c r="C163" s="174" t="s">
        <v>280</v>
      </c>
      <c r="D163" s="173">
        <v>2523938131</v>
      </c>
      <c r="E163" s="172">
        <v>525507320</v>
      </c>
      <c r="F163" s="164" t="s">
        <v>256</v>
      </c>
      <c r="G163" s="171">
        <v>37142</v>
      </c>
      <c r="H163" s="54">
        <f ca="1">DATEDIF(G163,TODAY(),"Y")</f>
        <v>15</v>
      </c>
      <c r="I163" s="170" t="str">
        <f>CHOOSE(MONTH(G163),"January","February","March","April","May","June","July","August","September","October","November","December")</f>
        <v>September</v>
      </c>
      <c r="J163" s="55" t="s">
        <v>276</v>
      </c>
      <c r="K163" s="56">
        <v>47616</v>
      </c>
      <c r="L163" s="169">
        <v>5</v>
      </c>
    </row>
    <row r="164" spans="1:12" x14ac:dyDescent="0.25">
      <c r="A164" s="164" t="s">
        <v>997</v>
      </c>
      <c r="B164" s="164" t="s">
        <v>417</v>
      </c>
      <c r="C164" s="174" t="s">
        <v>271</v>
      </c>
      <c r="D164" s="173">
        <v>2527102355</v>
      </c>
      <c r="E164" s="172">
        <v>571821715</v>
      </c>
      <c r="F164" s="164" t="s">
        <v>256</v>
      </c>
      <c r="G164" s="171">
        <v>36333</v>
      </c>
      <c r="H164" s="54">
        <f ca="1">DATEDIF(G164,TODAY(),"Y")</f>
        <v>17</v>
      </c>
      <c r="I164" s="170" t="str">
        <f>CHOOSE(MONTH(G164),"January","February","March","April","May","June","July","August","September","October","November","December")</f>
        <v>June</v>
      </c>
      <c r="J164" s="55" t="s">
        <v>283</v>
      </c>
      <c r="K164" s="56">
        <v>68244</v>
      </c>
      <c r="L164" s="169">
        <v>1</v>
      </c>
    </row>
    <row r="165" spans="1:12" x14ac:dyDescent="0.25">
      <c r="A165" s="164" t="s">
        <v>349</v>
      </c>
      <c r="B165" s="164" t="s">
        <v>417</v>
      </c>
      <c r="C165" s="174" t="s">
        <v>285</v>
      </c>
      <c r="D165" s="173">
        <v>2521614846</v>
      </c>
      <c r="E165" s="172">
        <v>116869057</v>
      </c>
      <c r="F165" s="164" t="s">
        <v>261</v>
      </c>
      <c r="G165" s="171">
        <v>35483</v>
      </c>
      <c r="H165" s="54">
        <f ca="1">DATEDIF(G165,TODAY(),"Y")</f>
        <v>19</v>
      </c>
      <c r="I165" s="170" t="str">
        <f>CHOOSE(MONTH(G165),"January","February","March","April","May","June","July","August","September","October","November","December")</f>
        <v>February</v>
      </c>
      <c r="J165" s="55" t="s">
        <v>267</v>
      </c>
      <c r="K165" s="56">
        <v>18006</v>
      </c>
      <c r="L165" s="169">
        <v>4</v>
      </c>
    </row>
    <row r="166" spans="1:12" x14ac:dyDescent="0.25">
      <c r="A166" s="164" t="s">
        <v>828</v>
      </c>
      <c r="B166" s="164" t="s">
        <v>417</v>
      </c>
      <c r="C166" s="174" t="s">
        <v>271</v>
      </c>
      <c r="D166" s="173">
        <v>2522969056</v>
      </c>
      <c r="E166" s="172">
        <v>249760737</v>
      </c>
      <c r="F166" s="164" t="s">
        <v>247</v>
      </c>
      <c r="G166" s="171">
        <v>34677</v>
      </c>
      <c r="H166" s="54">
        <f ca="1">DATEDIF(G166,TODAY(),"Y")</f>
        <v>21</v>
      </c>
      <c r="I166" s="170" t="str">
        <f>CHOOSE(MONTH(G166),"January","February","March","April","May","June","July","August","September","October","November","December")</f>
        <v>December</v>
      </c>
      <c r="J166" s="55"/>
      <c r="K166" s="56">
        <v>97284</v>
      </c>
      <c r="L166" s="169">
        <v>5</v>
      </c>
    </row>
    <row r="167" spans="1:12" x14ac:dyDescent="0.25">
      <c r="A167" s="164" t="s">
        <v>661</v>
      </c>
      <c r="B167" s="164" t="s">
        <v>417</v>
      </c>
      <c r="C167" s="174" t="s">
        <v>271</v>
      </c>
      <c r="D167" s="173">
        <v>9197288082</v>
      </c>
      <c r="E167" s="172">
        <v>232896341</v>
      </c>
      <c r="F167" s="164" t="s">
        <v>247</v>
      </c>
      <c r="G167" s="171">
        <v>40964</v>
      </c>
      <c r="H167" s="54">
        <f ca="1">DATEDIF(G167,TODAY(),"Y")</f>
        <v>4</v>
      </c>
      <c r="I167" s="170" t="str">
        <f>CHOOSE(MONTH(G167),"January","February","March","April","May","June","July","August","September","October","November","December")</f>
        <v>February</v>
      </c>
      <c r="J167" s="55"/>
      <c r="K167" s="56">
        <v>54996</v>
      </c>
      <c r="L167" s="169">
        <v>4</v>
      </c>
    </row>
    <row r="168" spans="1:12" x14ac:dyDescent="0.25">
      <c r="A168" s="164" t="s">
        <v>583</v>
      </c>
      <c r="B168" s="164" t="s">
        <v>417</v>
      </c>
      <c r="C168" s="174" t="s">
        <v>280</v>
      </c>
      <c r="D168" s="173">
        <v>9191534053</v>
      </c>
      <c r="E168" s="172">
        <v>291841866</v>
      </c>
      <c r="F168" s="164" t="s">
        <v>256</v>
      </c>
      <c r="G168" s="171">
        <v>34600</v>
      </c>
      <c r="H168" s="54">
        <f ca="1">DATEDIF(G168,TODAY(),"Y")</f>
        <v>22</v>
      </c>
      <c r="I168" s="170" t="str">
        <f>CHOOSE(MONTH(G168),"January","February","March","April","May","June","July","August","September","October","November","December")</f>
        <v>September</v>
      </c>
      <c r="J168" s="55" t="s">
        <v>257</v>
      </c>
      <c r="K168" s="56">
        <v>77412</v>
      </c>
      <c r="L168" s="169">
        <v>3</v>
      </c>
    </row>
    <row r="169" spans="1:12" x14ac:dyDescent="0.25">
      <c r="A169" s="164" t="s">
        <v>831</v>
      </c>
      <c r="B169" s="164" t="s">
        <v>417</v>
      </c>
      <c r="C169" s="174" t="s">
        <v>285</v>
      </c>
      <c r="D169" s="173">
        <v>2526053287</v>
      </c>
      <c r="E169" s="172">
        <v>927043360</v>
      </c>
      <c r="F169" s="164" t="s">
        <v>247</v>
      </c>
      <c r="G169" s="171">
        <v>34152</v>
      </c>
      <c r="H169" s="54">
        <f ca="1">DATEDIF(G169,TODAY(),"Y")</f>
        <v>23</v>
      </c>
      <c r="I169" s="170" t="str">
        <f>CHOOSE(MONTH(G169),"January","February","March","April","May","June","July","August","September","October","November","December")</f>
        <v>July</v>
      </c>
      <c r="J169" s="55"/>
      <c r="K169" s="56">
        <v>26784</v>
      </c>
      <c r="L169" s="169">
        <v>2</v>
      </c>
    </row>
    <row r="170" spans="1:12" x14ac:dyDescent="0.25">
      <c r="A170" s="164" t="s">
        <v>668</v>
      </c>
      <c r="B170" s="164" t="s">
        <v>417</v>
      </c>
      <c r="C170" s="174" t="s">
        <v>251</v>
      </c>
      <c r="D170" s="173">
        <v>2527051004</v>
      </c>
      <c r="E170" s="172">
        <v>281005046</v>
      </c>
      <c r="F170" s="164" t="s">
        <v>247</v>
      </c>
      <c r="G170" s="171">
        <v>40782</v>
      </c>
      <c r="H170" s="54">
        <f ca="1">DATEDIF(G170,TODAY(),"Y")</f>
        <v>5</v>
      </c>
      <c r="I170" s="170" t="str">
        <f>CHOOSE(MONTH(G170),"January","February","March","April","May","June","July","August","September","October","November","December")</f>
        <v>August</v>
      </c>
      <c r="J170" s="55"/>
      <c r="K170" s="56">
        <v>68304</v>
      </c>
      <c r="L170" s="169">
        <v>4</v>
      </c>
    </row>
    <row r="171" spans="1:12" x14ac:dyDescent="0.25">
      <c r="A171" s="164" t="s">
        <v>840</v>
      </c>
      <c r="B171" s="164" t="s">
        <v>417</v>
      </c>
      <c r="C171" s="174" t="s">
        <v>251</v>
      </c>
      <c r="D171" s="173">
        <v>9197226463</v>
      </c>
      <c r="E171" s="172">
        <v>212136062</v>
      </c>
      <c r="F171" s="164" t="s">
        <v>256</v>
      </c>
      <c r="G171" s="171">
        <v>36810</v>
      </c>
      <c r="H171" s="54">
        <f ca="1">DATEDIF(G171,TODAY(),"Y")</f>
        <v>16</v>
      </c>
      <c r="I171" s="170" t="str">
        <f>CHOOSE(MONTH(G171),"January","February","March","April","May","June","July","August","September","October","November","December")</f>
        <v>October</v>
      </c>
      <c r="J171" s="55" t="s">
        <v>283</v>
      </c>
      <c r="K171" s="56">
        <v>98880</v>
      </c>
      <c r="L171" s="169">
        <v>2</v>
      </c>
    </row>
    <row r="172" spans="1:12" x14ac:dyDescent="0.25">
      <c r="A172" s="164" t="s">
        <v>602</v>
      </c>
      <c r="B172" s="164" t="s">
        <v>417</v>
      </c>
      <c r="C172" s="174" t="s">
        <v>271</v>
      </c>
      <c r="D172" s="173">
        <v>9196514650</v>
      </c>
      <c r="E172" s="172">
        <v>603301910</v>
      </c>
      <c r="F172" s="164" t="s">
        <v>256</v>
      </c>
      <c r="G172" s="171">
        <v>34941</v>
      </c>
      <c r="H172" s="54">
        <f ca="1">DATEDIF(G172,TODAY(),"Y")</f>
        <v>21</v>
      </c>
      <c r="I172" s="170" t="str">
        <f>CHOOSE(MONTH(G172),"January","February","March","April","May","June","July","August","September","October","November","December")</f>
        <v>August</v>
      </c>
      <c r="J172" s="55" t="s">
        <v>257</v>
      </c>
      <c r="K172" s="56">
        <v>87480</v>
      </c>
      <c r="L172" s="169">
        <v>3</v>
      </c>
    </row>
    <row r="173" spans="1:12" x14ac:dyDescent="0.25">
      <c r="A173" s="164" t="s">
        <v>363</v>
      </c>
      <c r="B173" s="164" t="s">
        <v>417</v>
      </c>
      <c r="C173" s="174" t="s">
        <v>280</v>
      </c>
      <c r="D173" s="173">
        <v>9194323329</v>
      </c>
      <c r="E173" s="172">
        <v>171868795</v>
      </c>
      <c r="F173" s="164" t="s">
        <v>256</v>
      </c>
      <c r="G173" s="171">
        <v>33807</v>
      </c>
      <c r="H173" s="54">
        <f ca="1">DATEDIF(G173,TODAY(),"Y")</f>
        <v>24</v>
      </c>
      <c r="I173" s="170" t="str">
        <f>CHOOSE(MONTH(G173),"January","February","March","April","May","June","July","August","September","October","November","December")</f>
        <v>July</v>
      </c>
      <c r="J173" s="55" t="s">
        <v>276</v>
      </c>
      <c r="K173" s="56">
        <v>38832</v>
      </c>
      <c r="L173" s="169">
        <v>4</v>
      </c>
    </row>
    <row r="174" spans="1:12" x14ac:dyDescent="0.25">
      <c r="A174" s="164" t="s">
        <v>923</v>
      </c>
      <c r="B174" s="164" t="s">
        <v>417</v>
      </c>
      <c r="C174" s="174" t="s">
        <v>285</v>
      </c>
      <c r="D174" s="173">
        <v>9195394899</v>
      </c>
      <c r="E174" s="172">
        <v>302598687</v>
      </c>
      <c r="F174" s="164" t="s">
        <v>256</v>
      </c>
      <c r="G174" s="171">
        <v>34814</v>
      </c>
      <c r="H174" s="54">
        <f ca="1">DATEDIF(G174,TODAY(),"Y")</f>
        <v>21</v>
      </c>
      <c r="I174" s="170" t="str">
        <f>CHOOSE(MONTH(G174),"January","February","March","April","May","June","July","August","September","October","November","December")</f>
        <v>April</v>
      </c>
      <c r="J174" s="55" t="s">
        <v>257</v>
      </c>
      <c r="K174" s="56">
        <v>38208</v>
      </c>
      <c r="L174" s="169">
        <v>1</v>
      </c>
    </row>
    <row r="175" spans="1:12" x14ac:dyDescent="0.25">
      <c r="A175" s="175" t="s">
        <v>265</v>
      </c>
      <c r="B175" s="164" t="s">
        <v>417</v>
      </c>
      <c r="C175" s="174" t="s">
        <v>271</v>
      </c>
      <c r="D175" s="173">
        <v>9191264786</v>
      </c>
      <c r="E175" s="172">
        <v>622274162</v>
      </c>
      <c r="F175" s="164" t="s">
        <v>247</v>
      </c>
      <c r="G175" s="171">
        <v>35499</v>
      </c>
      <c r="H175" s="54">
        <f ca="1">DATEDIF(G175,TODAY(),"Y")</f>
        <v>19</v>
      </c>
      <c r="I175" s="170" t="str">
        <f>CHOOSE(MONTH(G175),"January","February","March","April","May","June","July","August","September","October","November","December")</f>
        <v>March</v>
      </c>
      <c r="J175" s="55"/>
      <c r="K175" s="56">
        <v>31632</v>
      </c>
      <c r="L175" s="169">
        <v>4</v>
      </c>
    </row>
    <row r="176" spans="1:12" x14ac:dyDescent="0.25">
      <c r="A176" s="164" t="s">
        <v>860</v>
      </c>
      <c r="B176" s="164" t="s">
        <v>456</v>
      </c>
      <c r="C176" s="174" t="s">
        <v>280</v>
      </c>
      <c r="D176" s="173">
        <v>9191351512</v>
      </c>
      <c r="E176" s="172">
        <v>477110649</v>
      </c>
      <c r="F176" s="164" t="s">
        <v>256</v>
      </c>
      <c r="G176" s="171">
        <v>37771</v>
      </c>
      <c r="H176" s="54">
        <f ca="1">DATEDIF(G176,TODAY(),"Y")</f>
        <v>13</v>
      </c>
      <c r="I176" s="170" t="str">
        <f>CHOOSE(MONTH(G176),"January","February","March","April","May","June","July","August","September","October","November","December")</f>
        <v>May</v>
      </c>
      <c r="J176" s="55" t="s">
        <v>262</v>
      </c>
      <c r="K176" s="56">
        <v>54180</v>
      </c>
      <c r="L176" s="169">
        <v>1</v>
      </c>
    </row>
    <row r="177" spans="1:12" x14ac:dyDescent="0.25">
      <c r="A177" s="164" t="s">
        <v>495</v>
      </c>
      <c r="B177" s="164" t="s">
        <v>456</v>
      </c>
      <c r="C177" s="174" t="s">
        <v>271</v>
      </c>
      <c r="D177" s="173">
        <v>9196632360</v>
      </c>
      <c r="E177" s="172">
        <v>861884260</v>
      </c>
      <c r="F177" s="164" t="s">
        <v>256</v>
      </c>
      <c r="G177" s="171">
        <v>34113</v>
      </c>
      <c r="H177" s="54">
        <f ca="1">DATEDIF(G177,TODAY(),"Y")</f>
        <v>23</v>
      </c>
      <c r="I177" s="170" t="str">
        <f>CHOOSE(MONTH(G177),"January","February","March","April","May","June","July","August","September","October","November","December")</f>
        <v>May</v>
      </c>
      <c r="J177" s="55" t="s">
        <v>257</v>
      </c>
      <c r="K177" s="56">
        <v>106968</v>
      </c>
      <c r="L177" s="169">
        <v>1</v>
      </c>
    </row>
    <row r="178" spans="1:12" x14ac:dyDescent="0.25">
      <c r="A178" s="164" t="s">
        <v>412</v>
      </c>
      <c r="B178" s="164" t="s">
        <v>456</v>
      </c>
      <c r="C178" s="174" t="s">
        <v>251</v>
      </c>
      <c r="D178" s="173">
        <v>9197173558</v>
      </c>
      <c r="E178" s="172">
        <v>117896630</v>
      </c>
      <c r="F178" s="164" t="s">
        <v>247</v>
      </c>
      <c r="G178" s="171">
        <v>40991</v>
      </c>
      <c r="H178" s="54">
        <f ca="1">DATEDIF(G178,TODAY(),"Y")</f>
        <v>4</v>
      </c>
      <c r="I178" s="170" t="str">
        <f>CHOOSE(MONTH(G178),"January","February","March","April","May","June","July","August","September","October","November","December")</f>
        <v>March</v>
      </c>
      <c r="J178" s="55" t="s">
        <v>267</v>
      </c>
      <c r="K178" s="56">
        <v>85428</v>
      </c>
      <c r="L178" s="169">
        <v>4</v>
      </c>
    </row>
    <row r="179" spans="1:12" x14ac:dyDescent="0.25">
      <c r="A179" s="164" t="s">
        <v>511</v>
      </c>
      <c r="B179" s="164" t="s">
        <v>456</v>
      </c>
      <c r="C179" s="174" t="s">
        <v>271</v>
      </c>
      <c r="D179" s="173">
        <v>2525610944</v>
      </c>
      <c r="E179" s="172">
        <v>351268538</v>
      </c>
      <c r="F179" s="164" t="s">
        <v>252</v>
      </c>
      <c r="G179" s="171">
        <v>37247</v>
      </c>
      <c r="H179" s="54">
        <f ca="1">DATEDIF(G179,TODAY(),"Y")</f>
        <v>14</v>
      </c>
      <c r="I179" s="170" t="str">
        <f>CHOOSE(MONTH(G179),"January","February","March","April","May","June","July","August","September","October","November","December")</f>
        <v>December</v>
      </c>
      <c r="J179" s="55" t="s">
        <v>283</v>
      </c>
      <c r="K179" s="56">
        <v>74232</v>
      </c>
      <c r="L179" s="169">
        <v>5</v>
      </c>
    </row>
    <row r="180" spans="1:12" x14ac:dyDescent="0.25">
      <c r="A180" s="164" t="s">
        <v>532</v>
      </c>
      <c r="B180" s="164" t="s">
        <v>456</v>
      </c>
      <c r="C180" s="174" t="s">
        <v>271</v>
      </c>
      <c r="D180" s="173">
        <v>2527577867</v>
      </c>
      <c r="E180" s="172">
        <v>244171882</v>
      </c>
      <c r="F180" s="164" t="s">
        <v>261</v>
      </c>
      <c r="G180" s="171">
        <v>35129</v>
      </c>
      <c r="H180" s="54">
        <f ca="1">DATEDIF(G180,TODAY(),"Y")</f>
        <v>20</v>
      </c>
      <c r="I180" s="170" t="str">
        <f>CHOOSE(MONTH(G180),"January","February","March","April","May","June","July","August","September","October","November","December")</f>
        <v>March</v>
      </c>
      <c r="J180" s="55" t="s">
        <v>267</v>
      </c>
      <c r="K180" s="56">
        <v>107736</v>
      </c>
      <c r="L180" s="169">
        <v>4</v>
      </c>
    </row>
    <row r="181" spans="1:12" x14ac:dyDescent="0.25">
      <c r="A181" s="164" t="s">
        <v>821</v>
      </c>
      <c r="B181" s="164" t="s">
        <v>456</v>
      </c>
      <c r="C181" s="174" t="s">
        <v>285</v>
      </c>
      <c r="D181" s="173">
        <v>9191715499</v>
      </c>
      <c r="E181" s="172">
        <v>875920441</v>
      </c>
      <c r="F181" s="164" t="s">
        <v>261</v>
      </c>
      <c r="G181" s="171">
        <v>38233</v>
      </c>
      <c r="H181" s="54">
        <f ca="1">DATEDIF(G181,TODAY(),"Y")</f>
        <v>12</v>
      </c>
      <c r="I181" s="170" t="str">
        <f>CHOOSE(MONTH(G181),"January","February","March","April","May","June","July","August","September","October","November","December")</f>
        <v>September</v>
      </c>
      <c r="J181" s="55" t="s">
        <v>276</v>
      </c>
      <c r="K181" s="56">
        <v>62160</v>
      </c>
      <c r="L181" s="169">
        <v>1</v>
      </c>
    </row>
    <row r="182" spans="1:12" x14ac:dyDescent="0.25">
      <c r="A182" s="164" t="s">
        <v>671</v>
      </c>
      <c r="B182" s="164" t="s">
        <v>456</v>
      </c>
      <c r="C182" s="174" t="s">
        <v>285</v>
      </c>
      <c r="D182" s="173">
        <v>2526739978</v>
      </c>
      <c r="E182" s="172">
        <v>771953685</v>
      </c>
      <c r="F182" s="164" t="s">
        <v>252</v>
      </c>
      <c r="G182" s="171">
        <v>38674</v>
      </c>
      <c r="H182" s="54">
        <f ca="1">DATEDIF(G182,TODAY(),"Y")</f>
        <v>10</v>
      </c>
      <c r="I182" s="170" t="str">
        <f>CHOOSE(MONTH(G182),"January","February","March","April","May","June","July","August","September","October","November","December")</f>
        <v>November</v>
      </c>
      <c r="J182" s="55" t="s">
        <v>257</v>
      </c>
      <c r="K182" s="56">
        <v>102156</v>
      </c>
      <c r="L182" s="169">
        <v>5</v>
      </c>
    </row>
    <row r="183" spans="1:12" x14ac:dyDescent="0.25">
      <c r="A183" s="164" t="s">
        <v>698</v>
      </c>
      <c r="B183" s="164" t="s">
        <v>456</v>
      </c>
      <c r="C183" s="174" t="s">
        <v>280</v>
      </c>
      <c r="D183" s="173">
        <v>9196681578</v>
      </c>
      <c r="E183" s="172">
        <v>746497232</v>
      </c>
      <c r="F183" s="164" t="s">
        <v>247</v>
      </c>
      <c r="G183" s="171">
        <v>37401</v>
      </c>
      <c r="H183" s="54">
        <f ca="1">DATEDIF(G183,TODAY(),"Y")</f>
        <v>14</v>
      </c>
      <c r="I183" s="170" t="str">
        <f>CHOOSE(MONTH(G183),"January","February","March","April","May","June","July","August","September","October","November","December")</f>
        <v>May</v>
      </c>
      <c r="J183" s="55" t="s">
        <v>283</v>
      </c>
      <c r="K183" s="56">
        <v>83292</v>
      </c>
      <c r="L183" s="169">
        <v>4</v>
      </c>
    </row>
    <row r="184" spans="1:12" x14ac:dyDescent="0.25">
      <c r="A184" s="164" t="s">
        <v>857</v>
      </c>
      <c r="B184" s="164" t="s">
        <v>465</v>
      </c>
      <c r="C184" s="174" t="s">
        <v>266</v>
      </c>
      <c r="D184" s="173">
        <v>9195627374</v>
      </c>
      <c r="E184" s="172">
        <v>484217278</v>
      </c>
      <c r="F184" s="164" t="s">
        <v>252</v>
      </c>
      <c r="G184" s="171">
        <v>40475</v>
      </c>
      <c r="H184" s="54">
        <f ca="1">DATEDIF(G184,TODAY(),"Y")</f>
        <v>6</v>
      </c>
      <c r="I184" s="170" t="str">
        <f>CHOOSE(MONTH(G184),"January","February","March","April","May","June","July","August","September","October","November","December")</f>
        <v>October</v>
      </c>
      <c r="J184" s="55"/>
      <c r="K184" s="56">
        <v>12686</v>
      </c>
      <c r="L184" s="169">
        <v>4</v>
      </c>
    </row>
    <row r="185" spans="1:12" x14ac:dyDescent="0.25">
      <c r="A185" s="164" t="s">
        <v>929</v>
      </c>
      <c r="B185" s="164" t="s">
        <v>465</v>
      </c>
      <c r="C185" s="174" t="s">
        <v>266</v>
      </c>
      <c r="D185" s="173">
        <v>2526228199</v>
      </c>
      <c r="E185" s="172">
        <v>378189642</v>
      </c>
      <c r="F185" s="164" t="s">
        <v>247</v>
      </c>
      <c r="G185" s="171">
        <v>38627</v>
      </c>
      <c r="H185" s="54">
        <f ca="1">DATEDIF(G185,TODAY(),"Y")</f>
        <v>11</v>
      </c>
      <c r="I185" s="170" t="str">
        <f>CHOOSE(MONTH(G185),"January","February","March","April","May","June","July","August","September","October","November","December")</f>
        <v>October</v>
      </c>
      <c r="J185" s="55"/>
      <c r="K185" s="56">
        <v>77064</v>
      </c>
      <c r="L185" s="169">
        <v>5</v>
      </c>
    </row>
    <row r="186" spans="1:12" x14ac:dyDescent="0.25">
      <c r="A186" s="164" t="s">
        <v>772</v>
      </c>
      <c r="B186" s="164" t="s">
        <v>465</v>
      </c>
      <c r="C186" s="174" t="s">
        <v>285</v>
      </c>
      <c r="D186" s="173">
        <v>9197950668</v>
      </c>
      <c r="E186" s="172">
        <v>251824309</v>
      </c>
      <c r="F186" s="164" t="s">
        <v>247</v>
      </c>
      <c r="G186" s="171">
        <v>37457</v>
      </c>
      <c r="H186" s="54">
        <f ca="1">DATEDIF(G186,TODAY(),"Y")</f>
        <v>14</v>
      </c>
      <c r="I186" s="170" t="str">
        <f>CHOOSE(MONTH(G186),"January","February","March","April","May","June","July","August","September","October","November","December")</f>
        <v>July</v>
      </c>
      <c r="J186" s="55"/>
      <c r="K186" s="56">
        <v>54504</v>
      </c>
      <c r="L186" s="169">
        <v>1</v>
      </c>
    </row>
    <row r="187" spans="1:12" x14ac:dyDescent="0.25">
      <c r="A187" s="164" t="s">
        <v>862</v>
      </c>
      <c r="B187" s="164" t="s">
        <v>465</v>
      </c>
      <c r="C187" s="174" t="s">
        <v>285</v>
      </c>
      <c r="D187" s="173">
        <v>9197362525</v>
      </c>
      <c r="E187" s="172">
        <v>377194926</v>
      </c>
      <c r="F187" s="164" t="s">
        <v>256</v>
      </c>
      <c r="G187" s="171">
        <v>41331</v>
      </c>
      <c r="H187" s="54">
        <f ca="1">DATEDIF(G187,TODAY(),"Y")</f>
        <v>3</v>
      </c>
      <c r="I187" s="170" t="str">
        <f>CHOOSE(MONTH(G187),"January","February","March","April","May","June","July","August","September","October","November","December")</f>
        <v>February</v>
      </c>
      <c r="J187" s="55" t="s">
        <v>267</v>
      </c>
      <c r="K187" s="56">
        <v>53112</v>
      </c>
      <c r="L187" s="169">
        <v>1</v>
      </c>
    </row>
    <row r="188" spans="1:12" x14ac:dyDescent="0.25">
      <c r="A188" s="164" t="s">
        <v>410</v>
      </c>
      <c r="B188" s="164" t="s">
        <v>465</v>
      </c>
      <c r="C188" s="174" t="s">
        <v>271</v>
      </c>
      <c r="D188" s="173">
        <v>9192212512</v>
      </c>
      <c r="E188" s="172">
        <v>147724014</v>
      </c>
      <c r="F188" s="164" t="s">
        <v>256</v>
      </c>
      <c r="G188" s="171">
        <v>35916</v>
      </c>
      <c r="H188" s="54">
        <f ca="1">DATEDIF(G188,TODAY(),"Y")</f>
        <v>18</v>
      </c>
      <c r="I188" s="170" t="str">
        <f>CHOOSE(MONTH(G188),"January","February","March","April","May","June","July","August","September","October","November","December")</f>
        <v>May</v>
      </c>
      <c r="J188" s="55" t="s">
        <v>283</v>
      </c>
      <c r="K188" s="56">
        <v>53124</v>
      </c>
      <c r="L188" s="169">
        <v>2</v>
      </c>
    </row>
    <row r="189" spans="1:12" x14ac:dyDescent="0.25">
      <c r="A189" s="164" t="s">
        <v>749</v>
      </c>
      <c r="B189" s="164" t="s">
        <v>465</v>
      </c>
      <c r="C189" s="174" t="s">
        <v>280</v>
      </c>
      <c r="D189" s="173">
        <v>2521810581</v>
      </c>
      <c r="E189" s="172">
        <v>993383806</v>
      </c>
      <c r="F189" s="164" t="s">
        <v>252</v>
      </c>
      <c r="G189" s="171">
        <v>36795</v>
      </c>
      <c r="H189" s="54">
        <f ca="1">DATEDIF(G189,TODAY(),"Y")</f>
        <v>16</v>
      </c>
      <c r="I189" s="170" t="str">
        <f>CHOOSE(MONTH(G189),"January","February","March","April","May","June","July","August","September","October","November","December")</f>
        <v>September</v>
      </c>
      <c r="J189" s="55"/>
      <c r="K189" s="56">
        <v>45134</v>
      </c>
      <c r="L189" s="169">
        <v>4</v>
      </c>
    </row>
    <row r="190" spans="1:12" x14ac:dyDescent="0.25">
      <c r="A190" s="164" t="s">
        <v>751</v>
      </c>
      <c r="B190" s="164" t="s">
        <v>465</v>
      </c>
      <c r="C190" s="174" t="s">
        <v>271</v>
      </c>
      <c r="D190" s="173">
        <v>9197848542</v>
      </c>
      <c r="E190" s="172">
        <v>470719383</v>
      </c>
      <c r="F190" s="164" t="s">
        <v>256</v>
      </c>
      <c r="G190" s="171">
        <v>36737</v>
      </c>
      <c r="H190" s="54">
        <f ca="1">DATEDIF(G190,TODAY(),"Y")</f>
        <v>16</v>
      </c>
      <c r="I190" s="170" t="str">
        <f>CHOOSE(MONTH(G190),"January","February","March","April","May","June","July","August","September","October","November","December")</f>
        <v>July</v>
      </c>
      <c r="J190" s="55" t="s">
        <v>257</v>
      </c>
      <c r="K190" s="56">
        <v>90144</v>
      </c>
      <c r="L190" s="169">
        <v>5</v>
      </c>
    </row>
    <row r="191" spans="1:12" x14ac:dyDescent="0.25">
      <c r="A191" s="164" t="s">
        <v>709</v>
      </c>
      <c r="B191" s="164" t="s">
        <v>465</v>
      </c>
      <c r="C191" s="174" t="s">
        <v>285</v>
      </c>
      <c r="D191" s="173">
        <v>9194018412</v>
      </c>
      <c r="E191" s="172">
        <v>243062914</v>
      </c>
      <c r="F191" s="164" t="s">
        <v>256</v>
      </c>
      <c r="G191" s="171">
        <v>35927</v>
      </c>
      <c r="H191" s="54">
        <f ca="1">DATEDIF(G191,TODAY(),"Y")</f>
        <v>18</v>
      </c>
      <c r="I191" s="170" t="str">
        <f>CHOOSE(MONTH(G191),"January","February","March","April","May","June","July","August","September","October","November","December")</f>
        <v>May</v>
      </c>
      <c r="J191" s="55" t="s">
        <v>257</v>
      </c>
      <c r="K191" s="56">
        <v>88140</v>
      </c>
      <c r="L191" s="169">
        <v>3</v>
      </c>
    </row>
    <row r="192" spans="1:12" x14ac:dyDescent="0.25">
      <c r="A192" s="164" t="s">
        <v>710</v>
      </c>
      <c r="B192" s="164" t="s">
        <v>465</v>
      </c>
      <c r="C192" s="174" t="s">
        <v>271</v>
      </c>
      <c r="D192" s="173">
        <v>9192712826</v>
      </c>
      <c r="E192" s="172">
        <v>853268713</v>
      </c>
      <c r="F192" s="164" t="s">
        <v>256</v>
      </c>
      <c r="G192" s="171">
        <v>36317</v>
      </c>
      <c r="H192" s="54">
        <f ca="1">DATEDIF(G192,TODAY(),"Y")</f>
        <v>17</v>
      </c>
      <c r="I192" s="170" t="str">
        <f>CHOOSE(MONTH(G192),"January","February","March","April","May","June","July","August","September","October","November","December")</f>
        <v>June</v>
      </c>
      <c r="J192" s="55" t="s">
        <v>257</v>
      </c>
      <c r="K192" s="56">
        <v>72336</v>
      </c>
      <c r="L192" s="169">
        <v>1</v>
      </c>
    </row>
    <row r="193" spans="1:12" x14ac:dyDescent="0.25">
      <c r="A193" s="164" t="s">
        <v>628</v>
      </c>
      <c r="B193" s="164" t="s">
        <v>465</v>
      </c>
      <c r="C193" s="174" t="s">
        <v>271</v>
      </c>
      <c r="D193" s="173">
        <v>2524919418</v>
      </c>
      <c r="E193" s="172">
        <v>687006783</v>
      </c>
      <c r="F193" s="164" t="s">
        <v>247</v>
      </c>
      <c r="G193" s="171">
        <v>36107</v>
      </c>
      <c r="H193" s="54">
        <f ca="1">DATEDIF(G193,TODAY(),"Y")</f>
        <v>18</v>
      </c>
      <c r="I193" s="170" t="str">
        <f>CHOOSE(MONTH(G193),"January","February","March","April","May","June","July","August","September","October","November","December")</f>
        <v>November</v>
      </c>
      <c r="J193" s="55"/>
      <c r="K193" s="56">
        <v>79212</v>
      </c>
      <c r="L193" s="169">
        <v>2</v>
      </c>
    </row>
    <row r="194" spans="1:12" x14ac:dyDescent="0.25">
      <c r="A194" s="164" t="s">
        <v>313</v>
      </c>
      <c r="B194" s="164" t="s">
        <v>465</v>
      </c>
      <c r="C194" s="174" t="s">
        <v>251</v>
      </c>
      <c r="D194" s="173">
        <v>9193164024</v>
      </c>
      <c r="E194" s="172">
        <v>783624212</v>
      </c>
      <c r="F194" s="164" t="s">
        <v>261</v>
      </c>
      <c r="G194" s="171">
        <v>35311</v>
      </c>
      <c r="H194" s="54">
        <f ca="1">DATEDIF(G194,TODAY(),"Y")</f>
        <v>20</v>
      </c>
      <c r="I194" s="170" t="str">
        <f>CHOOSE(MONTH(G194),"January","February","March","April","May","June","July","August","September","October","November","December")</f>
        <v>September</v>
      </c>
      <c r="J194" s="55" t="s">
        <v>262</v>
      </c>
      <c r="K194" s="56">
        <v>18312</v>
      </c>
      <c r="L194" s="169">
        <v>2</v>
      </c>
    </row>
    <row r="195" spans="1:12" x14ac:dyDescent="0.25">
      <c r="A195" s="164" t="s">
        <v>775</v>
      </c>
      <c r="B195" s="164" t="s">
        <v>465</v>
      </c>
      <c r="C195" s="174" t="s">
        <v>280</v>
      </c>
      <c r="D195" s="173">
        <v>9193883356</v>
      </c>
      <c r="E195" s="172">
        <v>350104448</v>
      </c>
      <c r="F195" s="164" t="s">
        <v>256</v>
      </c>
      <c r="G195" s="171">
        <v>36257</v>
      </c>
      <c r="H195" s="54">
        <f ca="1">DATEDIF(G195,TODAY(),"Y")</f>
        <v>17</v>
      </c>
      <c r="I195" s="170" t="str">
        <f>CHOOSE(MONTH(G195),"January","February","March","April","May","June","July","August","September","October","November","December")</f>
        <v>April</v>
      </c>
      <c r="J195" s="55" t="s">
        <v>267</v>
      </c>
      <c r="K195" s="56">
        <v>53904</v>
      </c>
      <c r="L195" s="169">
        <v>1</v>
      </c>
    </row>
    <row r="196" spans="1:12" x14ac:dyDescent="0.25">
      <c r="A196" s="164" t="s">
        <v>680</v>
      </c>
      <c r="B196" s="164" t="s">
        <v>465</v>
      </c>
      <c r="C196" s="174" t="s">
        <v>251</v>
      </c>
      <c r="D196" s="173">
        <v>2526505454</v>
      </c>
      <c r="E196" s="172">
        <v>311883362</v>
      </c>
      <c r="F196" s="164" t="s">
        <v>247</v>
      </c>
      <c r="G196" s="171">
        <v>38054</v>
      </c>
      <c r="H196" s="54">
        <f ca="1">DATEDIF(G196,TODAY(),"Y")</f>
        <v>12</v>
      </c>
      <c r="I196" s="170" t="str">
        <f>CHOOSE(MONTH(G196),"January","February","March","April","May","June","July","August","September","October","November","December")</f>
        <v>March</v>
      </c>
      <c r="J196" s="55"/>
      <c r="K196" s="56">
        <v>63324</v>
      </c>
      <c r="L196" s="169">
        <v>2</v>
      </c>
    </row>
    <row r="197" spans="1:12" x14ac:dyDescent="0.25">
      <c r="A197" s="164" t="s">
        <v>478</v>
      </c>
      <c r="B197" s="164" t="s">
        <v>465</v>
      </c>
      <c r="C197" s="174" t="s">
        <v>251</v>
      </c>
      <c r="D197" s="173">
        <v>9193557946</v>
      </c>
      <c r="E197" s="172">
        <v>317844971</v>
      </c>
      <c r="F197" s="164" t="s">
        <v>247</v>
      </c>
      <c r="G197" s="171">
        <v>36655</v>
      </c>
      <c r="H197" s="54">
        <f ca="1">DATEDIF(G197,TODAY(),"Y")</f>
        <v>16</v>
      </c>
      <c r="I197" s="170" t="str">
        <f>CHOOSE(MONTH(G197),"January","February","March","April","May","June","July","August","September","October","November","December")</f>
        <v>May</v>
      </c>
      <c r="J197" s="55"/>
      <c r="K197" s="56">
        <v>92292</v>
      </c>
      <c r="L197" s="169">
        <v>1</v>
      </c>
    </row>
    <row r="198" spans="1:12" x14ac:dyDescent="0.25">
      <c r="A198" s="164" t="s">
        <v>481</v>
      </c>
      <c r="B198" s="164" t="s">
        <v>465</v>
      </c>
      <c r="C198" s="174" t="s">
        <v>271</v>
      </c>
      <c r="D198" s="173">
        <v>2523922629</v>
      </c>
      <c r="E198" s="172">
        <v>592631929</v>
      </c>
      <c r="F198" s="164" t="s">
        <v>247</v>
      </c>
      <c r="G198" s="171">
        <v>36077</v>
      </c>
      <c r="H198" s="54">
        <f ca="1">DATEDIF(G198,TODAY(),"Y")</f>
        <v>18</v>
      </c>
      <c r="I198" s="170" t="str">
        <f>CHOOSE(MONTH(G198),"January","February","March","April","May","June","July","August","September","October","November","December")</f>
        <v>October</v>
      </c>
      <c r="J198" s="55"/>
      <c r="K198" s="56">
        <v>63528</v>
      </c>
      <c r="L198" s="169">
        <v>4</v>
      </c>
    </row>
    <row r="199" spans="1:12" x14ac:dyDescent="0.25">
      <c r="A199" s="164" t="s">
        <v>482</v>
      </c>
      <c r="B199" s="164" t="s">
        <v>465</v>
      </c>
      <c r="C199" s="174" t="s">
        <v>271</v>
      </c>
      <c r="D199" s="173">
        <v>9197775023</v>
      </c>
      <c r="E199" s="172">
        <v>257249459</v>
      </c>
      <c r="F199" s="164" t="s">
        <v>247</v>
      </c>
      <c r="G199" s="171">
        <v>37365</v>
      </c>
      <c r="H199" s="54">
        <f ca="1">DATEDIF(G199,TODAY(),"Y")</f>
        <v>14</v>
      </c>
      <c r="I199" s="170" t="str">
        <f>CHOOSE(MONTH(G199),"January","February","March","April","May","June","July","August","September","October","November","December")</f>
        <v>April</v>
      </c>
      <c r="J199" s="55"/>
      <c r="K199" s="56">
        <v>69120</v>
      </c>
      <c r="L199" s="169">
        <v>3</v>
      </c>
    </row>
    <row r="200" spans="1:12" x14ac:dyDescent="0.25">
      <c r="A200" s="164" t="s">
        <v>483</v>
      </c>
      <c r="B200" s="164" t="s">
        <v>465</v>
      </c>
      <c r="C200" s="174" t="s">
        <v>251</v>
      </c>
      <c r="D200" s="173">
        <v>2524252315</v>
      </c>
      <c r="E200" s="172">
        <v>338977629</v>
      </c>
      <c r="F200" s="164" t="s">
        <v>256</v>
      </c>
      <c r="G200" s="171">
        <v>36529</v>
      </c>
      <c r="H200" s="54">
        <f ca="1">DATEDIF(G200,TODAY(),"Y")</f>
        <v>16</v>
      </c>
      <c r="I200" s="170" t="str">
        <f>CHOOSE(MONTH(G200),"January","February","March","April","May","June","July","August","September","October","November","December")</f>
        <v>January</v>
      </c>
      <c r="J200" s="55" t="s">
        <v>257</v>
      </c>
      <c r="K200" s="56">
        <v>94284</v>
      </c>
      <c r="L200" s="169">
        <v>1</v>
      </c>
    </row>
    <row r="201" spans="1:12" x14ac:dyDescent="0.25">
      <c r="A201" s="164" t="s">
        <v>681</v>
      </c>
      <c r="B201" s="164" t="s">
        <v>465</v>
      </c>
      <c r="C201" s="174" t="s">
        <v>285</v>
      </c>
      <c r="D201" s="173">
        <v>2521257896</v>
      </c>
      <c r="E201" s="172">
        <v>337943008</v>
      </c>
      <c r="F201" s="164" t="s">
        <v>256</v>
      </c>
      <c r="G201" s="171">
        <v>38122</v>
      </c>
      <c r="H201" s="54">
        <f ca="1">DATEDIF(G201,TODAY(),"Y")</f>
        <v>12</v>
      </c>
      <c r="I201" s="170" t="str">
        <f>CHOOSE(MONTH(G201),"January","February","March","April","May","June","July","August","September","October","November","December")</f>
        <v>May</v>
      </c>
      <c r="J201" s="55" t="s">
        <v>257</v>
      </c>
      <c r="K201" s="56">
        <v>34764</v>
      </c>
      <c r="L201" s="169">
        <v>3</v>
      </c>
    </row>
    <row r="202" spans="1:12" x14ac:dyDescent="0.25">
      <c r="A202" s="164" t="s">
        <v>315</v>
      </c>
      <c r="B202" s="164" t="s">
        <v>465</v>
      </c>
      <c r="C202" s="174" t="s">
        <v>266</v>
      </c>
      <c r="D202" s="173">
        <v>9193547588</v>
      </c>
      <c r="E202" s="172">
        <v>858800513</v>
      </c>
      <c r="F202" s="164" t="s">
        <v>256</v>
      </c>
      <c r="G202" s="171">
        <v>40040</v>
      </c>
      <c r="H202" s="54">
        <f ca="1">DATEDIF(G202,TODAY(),"Y")</f>
        <v>7</v>
      </c>
      <c r="I202" s="170" t="str">
        <f>CHOOSE(MONTH(G202),"January","February","March","April","May","June","July","August","September","October","November","December")</f>
        <v>August</v>
      </c>
      <c r="J202" s="55" t="s">
        <v>262</v>
      </c>
      <c r="K202" s="56">
        <v>85236</v>
      </c>
      <c r="L202" s="169">
        <v>3</v>
      </c>
    </row>
    <row r="203" spans="1:12" x14ac:dyDescent="0.25">
      <c r="A203" s="164" t="s">
        <v>633</v>
      </c>
      <c r="B203" s="164" t="s">
        <v>465</v>
      </c>
      <c r="C203" s="174" t="s">
        <v>285</v>
      </c>
      <c r="D203" s="173">
        <v>2527358099</v>
      </c>
      <c r="E203" s="172">
        <v>876777922</v>
      </c>
      <c r="F203" s="164" t="s">
        <v>247</v>
      </c>
      <c r="G203" s="171">
        <v>41177</v>
      </c>
      <c r="H203" s="54">
        <f ca="1">DATEDIF(G203,TODAY(),"Y")</f>
        <v>4</v>
      </c>
      <c r="I203" s="170" t="str">
        <f>CHOOSE(MONTH(G203),"January","February","March","April","May","June","July","August","September","October","November","December")</f>
        <v>September</v>
      </c>
      <c r="J203" s="55"/>
      <c r="K203" s="56">
        <v>106608</v>
      </c>
      <c r="L203" s="169">
        <v>5</v>
      </c>
    </row>
    <row r="204" spans="1:12" x14ac:dyDescent="0.25">
      <c r="A204" s="164" t="s">
        <v>634</v>
      </c>
      <c r="B204" s="164" t="s">
        <v>465</v>
      </c>
      <c r="C204" s="174" t="s">
        <v>271</v>
      </c>
      <c r="D204" s="173">
        <v>2524854867</v>
      </c>
      <c r="E204" s="172">
        <v>930314379</v>
      </c>
      <c r="F204" s="164" t="s">
        <v>256</v>
      </c>
      <c r="G204" s="171">
        <v>40118</v>
      </c>
      <c r="H204" s="54">
        <f ca="1">DATEDIF(G204,TODAY(),"Y")</f>
        <v>7</v>
      </c>
      <c r="I204" s="170" t="str">
        <f>CHOOSE(MONTH(G204),"January","February","March","April","May","June","July","August","September","October","November","December")</f>
        <v>November</v>
      </c>
      <c r="J204" s="55" t="s">
        <v>267</v>
      </c>
      <c r="K204" s="56">
        <v>85788</v>
      </c>
      <c r="L204" s="169">
        <v>5</v>
      </c>
    </row>
    <row r="205" spans="1:12" x14ac:dyDescent="0.25">
      <c r="A205" s="164" t="s">
        <v>489</v>
      </c>
      <c r="B205" s="164" t="s">
        <v>465</v>
      </c>
      <c r="C205" s="174" t="s">
        <v>285</v>
      </c>
      <c r="D205" s="173">
        <v>2524248455</v>
      </c>
      <c r="E205" s="172">
        <v>589649495</v>
      </c>
      <c r="F205" s="164" t="s">
        <v>256</v>
      </c>
      <c r="G205" s="171">
        <v>37435</v>
      </c>
      <c r="H205" s="54">
        <f ca="1">DATEDIF(G205,TODAY(),"Y")</f>
        <v>14</v>
      </c>
      <c r="I205" s="170" t="str">
        <f>CHOOSE(MONTH(G205),"January","February","March","April","May","June","July","August","September","October","November","December")</f>
        <v>June</v>
      </c>
      <c r="J205" s="55" t="s">
        <v>276</v>
      </c>
      <c r="K205" s="56">
        <v>46644</v>
      </c>
      <c r="L205" s="169">
        <v>2</v>
      </c>
    </row>
    <row r="206" spans="1:12" x14ac:dyDescent="0.25">
      <c r="A206" s="164" t="s">
        <v>782</v>
      </c>
      <c r="B206" s="164" t="s">
        <v>465</v>
      </c>
      <c r="C206" s="174" t="s">
        <v>271</v>
      </c>
      <c r="D206" s="173">
        <v>9198213594</v>
      </c>
      <c r="E206" s="172">
        <v>387517948</v>
      </c>
      <c r="F206" s="164" t="s">
        <v>256</v>
      </c>
      <c r="G206" s="171">
        <v>41362</v>
      </c>
      <c r="H206" s="54">
        <f ca="1">DATEDIF(G206,TODAY(),"Y")</f>
        <v>3</v>
      </c>
      <c r="I206" s="170" t="str">
        <f>CHOOSE(MONTH(G206),"January","February","March","April","May","June","July","August","September","October","November","December")</f>
        <v>March</v>
      </c>
      <c r="J206" s="55" t="s">
        <v>257</v>
      </c>
      <c r="K206" s="56">
        <v>56928</v>
      </c>
      <c r="L206" s="169">
        <v>3</v>
      </c>
    </row>
    <row r="207" spans="1:12" x14ac:dyDescent="0.25">
      <c r="A207" s="164" t="s">
        <v>492</v>
      </c>
      <c r="B207" s="164" t="s">
        <v>465</v>
      </c>
      <c r="C207" s="174" t="s">
        <v>271</v>
      </c>
      <c r="D207" s="173">
        <v>9191397811</v>
      </c>
      <c r="E207" s="172">
        <v>931105030</v>
      </c>
      <c r="F207" s="164" t="s">
        <v>256</v>
      </c>
      <c r="G207" s="171">
        <v>37001</v>
      </c>
      <c r="H207" s="54">
        <f ca="1">DATEDIF(G207,TODAY(),"Y")</f>
        <v>15</v>
      </c>
      <c r="I207" s="170" t="str">
        <f>CHOOSE(MONTH(G207),"January","February","March","April","May","June","July","August","September","October","November","December")</f>
        <v>April</v>
      </c>
      <c r="J207" s="55" t="s">
        <v>283</v>
      </c>
      <c r="K207" s="56">
        <v>73596</v>
      </c>
      <c r="L207" s="169">
        <v>4</v>
      </c>
    </row>
    <row r="208" spans="1:12" x14ac:dyDescent="0.25">
      <c r="A208" s="164" t="s">
        <v>869</v>
      </c>
      <c r="B208" s="164" t="s">
        <v>465</v>
      </c>
      <c r="C208" s="174" t="s">
        <v>271</v>
      </c>
      <c r="D208" s="173">
        <v>9194944596</v>
      </c>
      <c r="E208" s="172">
        <v>820244290</v>
      </c>
      <c r="F208" s="164" t="s">
        <v>247</v>
      </c>
      <c r="G208" s="171">
        <v>34707</v>
      </c>
      <c r="H208" s="54">
        <f ca="1">DATEDIF(G208,TODAY(),"Y")</f>
        <v>21</v>
      </c>
      <c r="I208" s="170" t="str">
        <f>CHOOSE(MONTH(G208),"January","February","March","April","May","June","July","August","September","October","November","December")</f>
        <v>January</v>
      </c>
      <c r="J208" s="55"/>
      <c r="K208" s="56">
        <v>88788</v>
      </c>
      <c r="L208" s="169">
        <v>3</v>
      </c>
    </row>
    <row r="209" spans="1:12" x14ac:dyDescent="0.25">
      <c r="A209" s="164" t="s">
        <v>635</v>
      </c>
      <c r="B209" s="164" t="s">
        <v>465</v>
      </c>
      <c r="C209" s="174" t="s">
        <v>285</v>
      </c>
      <c r="D209" s="173">
        <v>9197662359</v>
      </c>
      <c r="E209" s="172">
        <v>291715078</v>
      </c>
      <c r="F209" s="164" t="s">
        <v>256</v>
      </c>
      <c r="G209" s="171">
        <v>34341</v>
      </c>
      <c r="H209" s="54">
        <f ca="1">DATEDIF(G209,TODAY(),"Y")</f>
        <v>22</v>
      </c>
      <c r="I209" s="170" t="str">
        <f>CHOOSE(MONTH(G209),"January","February","March","April","May","June","July","August","September","October","November","December")</f>
        <v>January</v>
      </c>
      <c r="J209" s="55" t="s">
        <v>586</v>
      </c>
      <c r="K209" s="56">
        <v>68280</v>
      </c>
      <c r="L209" s="169">
        <v>5</v>
      </c>
    </row>
    <row r="210" spans="1:12" x14ac:dyDescent="0.25">
      <c r="A210" s="164" t="s">
        <v>785</v>
      </c>
      <c r="B210" s="164" t="s">
        <v>465</v>
      </c>
      <c r="C210" s="174" t="s">
        <v>285</v>
      </c>
      <c r="D210" s="173">
        <v>9191163627</v>
      </c>
      <c r="E210" s="172">
        <v>682500261</v>
      </c>
      <c r="F210" s="164" t="s">
        <v>256</v>
      </c>
      <c r="G210" s="171">
        <v>35609</v>
      </c>
      <c r="H210" s="54">
        <f ca="1">DATEDIF(G210,TODAY(),"Y")</f>
        <v>19</v>
      </c>
      <c r="I210" s="170" t="str">
        <f>CHOOSE(MONTH(G210),"January","February","March","April","May","June","July","August","September","October","November","December")</f>
        <v>June</v>
      </c>
      <c r="J210" s="55" t="s">
        <v>262</v>
      </c>
      <c r="K210" s="56">
        <v>75684</v>
      </c>
      <c r="L210" s="169">
        <v>1</v>
      </c>
    </row>
    <row r="211" spans="1:12" x14ac:dyDescent="0.25">
      <c r="A211" s="164" t="s">
        <v>493</v>
      </c>
      <c r="B211" s="164" t="s">
        <v>465</v>
      </c>
      <c r="C211" s="174" t="s">
        <v>266</v>
      </c>
      <c r="D211" s="173">
        <v>9196969994</v>
      </c>
      <c r="E211" s="172">
        <v>425634540</v>
      </c>
      <c r="F211" s="164" t="s">
        <v>256</v>
      </c>
      <c r="G211" s="171">
        <v>40903</v>
      </c>
      <c r="H211" s="54">
        <f ca="1">DATEDIF(G211,TODAY(),"Y")</f>
        <v>4</v>
      </c>
      <c r="I211" s="170" t="str">
        <f>CHOOSE(MONTH(G211),"January","February","March","April","May","June","July","August","September","October","November","December")</f>
        <v>December</v>
      </c>
      <c r="J211" s="55" t="s">
        <v>267</v>
      </c>
      <c r="K211" s="56">
        <v>41628</v>
      </c>
      <c r="L211" s="169">
        <v>2</v>
      </c>
    </row>
    <row r="212" spans="1:12" x14ac:dyDescent="0.25">
      <c r="A212" s="164" t="s">
        <v>316</v>
      </c>
      <c r="B212" s="164" t="s">
        <v>465</v>
      </c>
      <c r="C212" s="174" t="s">
        <v>251</v>
      </c>
      <c r="D212" s="173">
        <v>2521280865</v>
      </c>
      <c r="E212" s="172">
        <v>884025623</v>
      </c>
      <c r="F212" s="164" t="s">
        <v>247</v>
      </c>
      <c r="G212" s="171">
        <v>34759</v>
      </c>
      <c r="H212" s="54">
        <f ca="1">DATEDIF(G212,TODAY(),"Y")</f>
        <v>21</v>
      </c>
      <c r="I212" s="170" t="str">
        <f>CHOOSE(MONTH(G212),"January","February","March","April","May","June","July","August","September","October","November","December")</f>
        <v>March</v>
      </c>
      <c r="J212" s="55"/>
      <c r="K212" s="56">
        <v>77316</v>
      </c>
      <c r="L212" s="169">
        <v>4</v>
      </c>
    </row>
    <row r="213" spans="1:12" x14ac:dyDescent="0.25">
      <c r="A213" s="164" t="s">
        <v>940</v>
      </c>
      <c r="B213" s="164" t="s">
        <v>465</v>
      </c>
      <c r="C213" s="174" t="s">
        <v>285</v>
      </c>
      <c r="D213" s="173">
        <v>9198413271</v>
      </c>
      <c r="E213" s="172">
        <v>482927373</v>
      </c>
      <c r="F213" s="164" t="s">
        <v>256</v>
      </c>
      <c r="G213" s="171">
        <v>36254</v>
      </c>
      <c r="H213" s="54">
        <f ca="1">DATEDIF(G213,TODAY(),"Y")</f>
        <v>17</v>
      </c>
      <c r="I213" s="170" t="str">
        <f>CHOOSE(MONTH(G213),"January","February","March","April","May","June","July","August","September","October","November","December")</f>
        <v>April</v>
      </c>
      <c r="J213" s="55" t="s">
        <v>283</v>
      </c>
      <c r="K213" s="56">
        <v>38868</v>
      </c>
      <c r="L213" s="169">
        <v>2</v>
      </c>
    </row>
    <row r="214" spans="1:12" x14ac:dyDescent="0.25">
      <c r="A214" s="164" t="s">
        <v>423</v>
      </c>
      <c r="B214" s="164" t="s">
        <v>465</v>
      </c>
      <c r="C214" s="174" t="s">
        <v>245</v>
      </c>
      <c r="D214" s="173">
        <v>9193184277</v>
      </c>
      <c r="E214" s="172">
        <v>313128501</v>
      </c>
      <c r="F214" s="164" t="s">
        <v>252</v>
      </c>
      <c r="G214" s="171">
        <v>36218</v>
      </c>
      <c r="H214" s="54">
        <f ca="1">DATEDIF(G214,TODAY(),"Y")</f>
        <v>17</v>
      </c>
      <c r="I214" s="170" t="str">
        <f>CHOOSE(MONTH(G214),"January","February","March","April","May","June","July","August","September","October","November","December")</f>
        <v>February</v>
      </c>
      <c r="J214" s="55"/>
      <c r="K214" s="56">
        <v>26966</v>
      </c>
      <c r="L214" s="169">
        <v>1</v>
      </c>
    </row>
    <row r="215" spans="1:12" x14ac:dyDescent="0.25">
      <c r="A215" s="164" t="s">
        <v>502</v>
      </c>
      <c r="B215" s="164" t="s">
        <v>465</v>
      </c>
      <c r="C215" s="174" t="s">
        <v>271</v>
      </c>
      <c r="D215" s="173">
        <v>9198367725</v>
      </c>
      <c r="E215" s="172">
        <v>332289257</v>
      </c>
      <c r="F215" s="164" t="s">
        <v>247</v>
      </c>
      <c r="G215" s="171">
        <v>36720</v>
      </c>
      <c r="H215" s="54">
        <f ca="1">DATEDIF(G215,TODAY(),"Y")</f>
        <v>16</v>
      </c>
      <c r="I215" s="170" t="str">
        <f>CHOOSE(MONTH(G215),"January","February","March","April","May","June","July","August","September","October","November","December")</f>
        <v>July</v>
      </c>
      <c r="J215" s="55"/>
      <c r="K215" s="56">
        <v>81912</v>
      </c>
      <c r="L215" s="169">
        <v>5</v>
      </c>
    </row>
    <row r="216" spans="1:12" x14ac:dyDescent="0.25">
      <c r="A216" s="164" t="s">
        <v>507</v>
      </c>
      <c r="B216" s="164" t="s">
        <v>465</v>
      </c>
      <c r="C216" s="174" t="s">
        <v>245</v>
      </c>
      <c r="D216" s="173">
        <v>2522433774</v>
      </c>
      <c r="E216" s="172">
        <v>561968668</v>
      </c>
      <c r="F216" s="164" t="s">
        <v>256</v>
      </c>
      <c r="G216" s="171">
        <v>39537</v>
      </c>
      <c r="H216" s="54">
        <f ca="1">DATEDIF(G216,TODAY(),"Y")</f>
        <v>8</v>
      </c>
      <c r="I216" s="170" t="str">
        <f>CHOOSE(MONTH(G216),"January","February","March","April","May","June","July","August","September","October","November","December")</f>
        <v>March</v>
      </c>
      <c r="J216" s="55" t="s">
        <v>262</v>
      </c>
      <c r="K216" s="56">
        <v>91901</v>
      </c>
      <c r="L216" s="169">
        <v>1</v>
      </c>
    </row>
    <row r="217" spans="1:12" x14ac:dyDescent="0.25">
      <c r="A217" s="164" t="s">
        <v>320</v>
      </c>
      <c r="B217" s="164" t="s">
        <v>465</v>
      </c>
      <c r="C217" s="174" t="s">
        <v>285</v>
      </c>
      <c r="D217" s="173">
        <v>9193386758</v>
      </c>
      <c r="E217" s="172">
        <v>564908088</v>
      </c>
      <c r="F217" s="164" t="s">
        <v>256</v>
      </c>
      <c r="G217" s="171">
        <v>39105</v>
      </c>
      <c r="H217" s="54">
        <f ca="1">DATEDIF(G217,TODAY(),"Y")</f>
        <v>9</v>
      </c>
      <c r="I217" s="170" t="str">
        <f>CHOOSE(MONTH(G217),"January","February","March","April","May","June","July","August","September","October","November","December")</f>
        <v>January</v>
      </c>
      <c r="J217" s="55" t="s">
        <v>257</v>
      </c>
      <c r="K217" s="56">
        <v>105312</v>
      </c>
      <c r="L217" s="169">
        <v>1</v>
      </c>
    </row>
    <row r="218" spans="1:12" x14ac:dyDescent="0.25">
      <c r="A218" s="164" t="s">
        <v>789</v>
      </c>
      <c r="B218" s="164" t="s">
        <v>465</v>
      </c>
      <c r="C218" s="174" t="s">
        <v>271</v>
      </c>
      <c r="D218" s="173">
        <v>2524999647</v>
      </c>
      <c r="E218" s="172">
        <v>506577536</v>
      </c>
      <c r="F218" s="164" t="s">
        <v>252</v>
      </c>
      <c r="G218" s="171">
        <v>37033</v>
      </c>
      <c r="H218" s="54">
        <f ca="1">DATEDIF(G218,TODAY(),"Y")</f>
        <v>15</v>
      </c>
      <c r="I218" s="170" t="str">
        <f>CHOOSE(MONTH(G218),"January","February","March","April","May","June","July","August","September","October","November","December")</f>
        <v>May</v>
      </c>
      <c r="J218" s="55"/>
      <c r="K218" s="56">
        <v>11309</v>
      </c>
      <c r="L218" s="169">
        <v>4</v>
      </c>
    </row>
    <row r="219" spans="1:12" x14ac:dyDescent="0.25">
      <c r="A219" s="164" t="s">
        <v>714</v>
      </c>
      <c r="B219" s="164" t="s">
        <v>465</v>
      </c>
      <c r="C219" s="174" t="s">
        <v>266</v>
      </c>
      <c r="D219" s="173">
        <v>9196194175</v>
      </c>
      <c r="E219" s="172">
        <v>596641549</v>
      </c>
      <c r="F219" s="164" t="s">
        <v>247</v>
      </c>
      <c r="G219" s="171">
        <v>37078</v>
      </c>
      <c r="H219" s="54">
        <f ca="1">DATEDIF(G219,TODAY(),"Y")</f>
        <v>15</v>
      </c>
      <c r="I219" s="170" t="str">
        <f>CHOOSE(MONTH(G219),"January","February","March","April","May","June","July","August","September","October","November","December")</f>
        <v>July</v>
      </c>
      <c r="J219" s="55"/>
      <c r="K219" s="56">
        <v>32856</v>
      </c>
      <c r="L219" s="169">
        <v>3</v>
      </c>
    </row>
    <row r="220" spans="1:12" x14ac:dyDescent="0.25">
      <c r="A220" s="164" t="s">
        <v>876</v>
      </c>
      <c r="B220" s="164" t="s">
        <v>465</v>
      </c>
      <c r="C220" s="174" t="s">
        <v>251</v>
      </c>
      <c r="D220" s="173">
        <v>2525725646</v>
      </c>
      <c r="E220" s="172">
        <v>944793994</v>
      </c>
      <c r="F220" s="164" t="s">
        <v>256</v>
      </c>
      <c r="G220" s="171">
        <v>35513</v>
      </c>
      <c r="H220" s="54">
        <f ca="1">DATEDIF(G220,TODAY(),"Y")</f>
        <v>19</v>
      </c>
      <c r="I220" s="170" t="str">
        <f>CHOOSE(MONTH(G220),"January","February","March","April","May","June","July","August","September","October","November","December")</f>
        <v>March</v>
      </c>
      <c r="J220" s="55" t="s">
        <v>257</v>
      </c>
      <c r="K220" s="56">
        <v>29160</v>
      </c>
      <c r="L220" s="169">
        <v>3</v>
      </c>
    </row>
    <row r="221" spans="1:12" x14ac:dyDescent="0.25">
      <c r="A221" s="164" t="s">
        <v>510</v>
      </c>
      <c r="B221" s="164" t="s">
        <v>465</v>
      </c>
      <c r="C221" s="174" t="s">
        <v>266</v>
      </c>
      <c r="D221" s="173">
        <v>2523122603</v>
      </c>
      <c r="E221" s="172">
        <v>590896401</v>
      </c>
      <c r="F221" s="164" t="s">
        <v>256</v>
      </c>
      <c r="G221" s="171">
        <v>39049</v>
      </c>
      <c r="H221" s="54">
        <f ca="1">DATEDIF(G221,TODAY(),"Y")</f>
        <v>9</v>
      </c>
      <c r="I221" s="170" t="str">
        <f>CHOOSE(MONTH(G221),"January","February","March","April","May","June","July","August","September","October","November","December")</f>
        <v>November</v>
      </c>
      <c r="J221" s="55" t="s">
        <v>262</v>
      </c>
      <c r="K221" s="56">
        <v>84912</v>
      </c>
      <c r="L221" s="169">
        <v>1</v>
      </c>
    </row>
    <row r="222" spans="1:12" x14ac:dyDescent="0.25">
      <c r="A222" s="164" t="s">
        <v>755</v>
      </c>
      <c r="B222" s="164" t="s">
        <v>465</v>
      </c>
      <c r="C222" s="174" t="s">
        <v>271</v>
      </c>
      <c r="D222" s="173">
        <v>2523431009</v>
      </c>
      <c r="E222" s="172">
        <v>462995574</v>
      </c>
      <c r="F222" s="164" t="s">
        <v>256</v>
      </c>
      <c r="G222" s="171">
        <v>36829</v>
      </c>
      <c r="H222" s="54">
        <f ca="1">DATEDIF(G222,TODAY(),"Y")</f>
        <v>16</v>
      </c>
      <c r="I222" s="170" t="str">
        <f>CHOOSE(MONTH(G222),"January","February","March","April","May","June","July","August","September","October","November","December")</f>
        <v>October</v>
      </c>
      <c r="J222" s="55" t="s">
        <v>257</v>
      </c>
      <c r="K222" s="56">
        <v>105888</v>
      </c>
      <c r="L222" s="169">
        <v>5</v>
      </c>
    </row>
    <row r="223" spans="1:12" x14ac:dyDescent="0.25">
      <c r="A223" s="164" t="s">
        <v>792</v>
      </c>
      <c r="B223" s="164" t="s">
        <v>465</v>
      </c>
      <c r="C223" s="174" t="s">
        <v>285</v>
      </c>
      <c r="D223" s="173">
        <v>2526966637</v>
      </c>
      <c r="E223" s="172">
        <v>110547055</v>
      </c>
      <c r="F223" s="164" t="s">
        <v>261</v>
      </c>
      <c r="G223" s="171">
        <v>37088</v>
      </c>
      <c r="H223" s="54">
        <f ca="1">DATEDIF(G223,TODAY(),"Y")</f>
        <v>15</v>
      </c>
      <c r="I223" s="170" t="str">
        <f>CHOOSE(MONTH(G223),"January","February","March","April","May","June","July","August","September","October","November","December")</f>
        <v>July</v>
      </c>
      <c r="J223" s="55" t="s">
        <v>283</v>
      </c>
      <c r="K223" s="56">
        <v>13278</v>
      </c>
      <c r="L223" s="169">
        <v>1</v>
      </c>
    </row>
    <row r="224" spans="1:12" x14ac:dyDescent="0.25">
      <c r="A224" s="164" t="s">
        <v>514</v>
      </c>
      <c r="B224" s="164" t="s">
        <v>465</v>
      </c>
      <c r="C224" s="174" t="s">
        <v>280</v>
      </c>
      <c r="D224" s="173">
        <v>9196607355</v>
      </c>
      <c r="E224" s="172">
        <v>826450563</v>
      </c>
      <c r="F224" s="164" t="s">
        <v>247</v>
      </c>
      <c r="G224" s="171">
        <v>37432</v>
      </c>
      <c r="H224" s="54">
        <f ca="1">DATEDIF(G224,TODAY(),"Y")</f>
        <v>14</v>
      </c>
      <c r="I224" s="170" t="str">
        <f>CHOOSE(MONTH(G224),"January","February","March","April","May","June","July","August","September","October","November","December")</f>
        <v>June</v>
      </c>
      <c r="J224" s="55"/>
      <c r="K224" s="56">
        <v>69312</v>
      </c>
      <c r="L224" s="169">
        <v>3</v>
      </c>
    </row>
    <row r="225" spans="1:12" x14ac:dyDescent="0.25">
      <c r="A225" s="164" t="s">
        <v>515</v>
      </c>
      <c r="B225" s="164" t="s">
        <v>465</v>
      </c>
      <c r="C225" s="174" t="s">
        <v>251</v>
      </c>
      <c r="D225" s="173">
        <v>2527710498</v>
      </c>
      <c r="E225" s="172">
        <v>696435191</v>
      </c>
      <c r="F225" s="164" t="s">
        <v>256</v>
      </c>
      <c r="G225" s="171">
        <v>36319</v>
      </c>
      <c r="H225" s="54">
        <f ca="1">DATEDIF(G225,TODAY(),"Y")</f>
        <v>17</v>
      </c>
      <c r="I225" s="170" t="str">
        <f>CHOOSE(MONTH(G225),"January","February","March","April","May","June","July","August","September","October","November","December")</f>
        <v>June</v>
      </c>
      <c r="J225" s="55" t="s">
        <v>283</v>
      </c>
      <c r="K225" s="56">
        <v>73380</v>
      </c>
      <c r="L225" s="169">
        <v>2</v>
      </c>
    </row>
    <row r="226" spans="1:12" x14ac:dyDescent="0.25">
      <c r="A226" s="164" t="s">
        <v>878</v>
      </c>
      <c r="B226" s="164" t="s">
        <v>465</v>
      </c>
      <c r="C226" s="174" t="s">
        <v>266</v>
      </c>
      <c r="D226" s="173">
        <v>2527172882</v>
      </c>
      <c r="E226" s="172">
        <v>143534593</v>
      </c>
      <c r="F226" s="164" t="s">
        <v>247</v>
      </c>
      <c r="G226" s="171">
        <v>38548</v>
      </c>
      <c r="H226" s="54">
        <f ca="1">DATEDIF(G226,TODAY(),"Y")</f>
        <v>11</v>
      </c>
      <c r="I226" s="170" t="str">
        <f>CHOOSE(MONTH(G226),"January","February","March","April","May","June","July","August","September","October","November","December")</f>
        <v>July</v>
      </c>
      <c r="J226" s="55"/>
      <c r="K226" s="56">
        <v>90504</v>
      </c>
      <c r="L226" s="169">
        <v>1</v>
      </c>
    </row>
    <row r="227" spans="1:12" x14ac:dyDescent="0.25">
      <c r="A227" s="164" t="s">
        <v>879</v>
      </c>
      <c r="B227" s="164" t="s">
        <v>465</v>
      </c>
      <c r="C227" s="174" t="s">
        <v>271</v>
      </c>
      <c r="D227" s="173">
        <v>2522064219</v>
      </c>
      <c r="E227" s="172">
        <v>384454025</v>
      </c>
      <c r="F227" s="164" t="s">
        <v>247</v>
      </c>
      <c r="G227" s="171">
        <v>37183</v>
      </c>
      <c r="H227" s="54">
        <f ca="1">DATEDIF(G227,TODAY(),"Y")</f>
        <v>15</v>
      </c>
      <c r="I227" s="170" t="str">
        <f>CHOOSE(MONTH(G227),"January","February","March","April","May","June","July","August","September","October","November","December")</f>
        <v>October</v>
      </c>
      <c r="J227" s="55"/>
      <c r="K227" s="56">
        <v>28572</v>
      </c>
      <c r="L227" s="169">
        <v>4</v>
      </c>
    </row>
    <row r="228" spans="1:12" x14ac:dyDescent="0.25">
      <c r="A228" s="164" t="s">
        <v>685</v>
      </c>
      <c r="B228" s="164" t="s">
        <v>465</v>
      </c>
      <c r="C228" s="174" t="s">
        <v>245</v>
      </c>
      <c r="D228" s="173">
        <v>9192168237</v>
      </c>
      <c r="E228" s="172">
        <v>566726453</v>
      </c>
      <c r="F228" s="164" t="s">
        <v>256</v>
      </c>
      <c r="G228" s="171">
        <v>35748</v>
      </c>
      <c r="H228" s="54">
        <f ca="1">DATEDIF(G228,TODAY(),"Y")</f>
        <v>18</v>
      </c>
      <c r="I228" s="170" t="str">
        <f>CHOOSE(MONTH(G228),"January","February","March","April","May","June","July","August","September","October","November","December")</f>
        <v>November</v>
      </c>
      <c r="J228" s="55" t="s">
        <v>262</v>
      </c>
      <c r="K228" s="56">
        <v>46728</v>
      </c>
      <c r="L228" s="169">
        <v>2</v>
      </c>
    </row>
    <row r="229" spans="1:12" x14ac:dyDescent="0.25">
      <c r="A229" s="164" t="s">
        <v>799</v>
      </c>
      <c r="B229" s="164" t="s">
        <v>465</v>
      </c>
      <c r="C229" s="174" t="s">
        <v>285</v>
      </c>
      <c r="D229" s="173">
        <v>9194888110</v>
      </c>
      <c r="E229" s="172">
        <v>559376297</v>
      </c>
      <c r="F229" s="164" t="s">
        <v>256</v>
      </c>
      <c r="G229" s="171">
        <v>37159</v>
      </c>
      <c r="H229" s="54">
        <f ca="1">DATEDIF(G229,TODAY(),"Y")</f>
        <v>15</v>
      </c>
      <c r="I229" s="170" t="str">
        <f>CHOOSE(MONTH(G229),"January","February","March","April","May","June","July","August","September","October","November","December")</f>
        <v>September</v>
      </c>
      <c r="J229" s="55" t="s">
        <v>257</v>
      </c>
      <c r="K229" s="56">
        <v>42984</v>
      </c>
      <c r="L229" s="169">
        <v>2</v>
      </c>
    </row>
    <row r="230" spans="1:12" x14ac:dyDescent="0.25">
      <c r="A230" s="164" t="s">
        <v>519</v>
      </c>
      <c r="B230" s="164" t="s">
        <v>465</v>
      </c>
      <c r="C230" s="174" t="s">
        <v>271</v>
      </c>
      <c r="D230" s="173">
        <v>9191806180</v>
      </c>
      <c r="E230" s="172">
        <v>616417564</v>
      </c>
      <c r="F230" s="164" t="s">
        <v>247</v>
      </c>
      <c r="G230" s="171">
        <v>36179</v>
      </c>
      <c r="H230" s="54">
        <f ca="1">DATEDIF(G230,TODAY(),"Y")</f>
        <v>17</v>
      </c>
      <c r="I230" s="170" t="str">
        <f>CHOOSE(MONTH(G230),"January","February","March","April","May","June","July","August","September","October","November","December")</f>
        <v>January</v>
      </c>
      <c r="J230" s="55"/>
      <c r="K230" s="56">
        <v>50580</v>
      </c>
      <c r="L230" s="169">
        <v>5</v>
      </c>
    </row>
    <row r="231" spans="1:12" x14ac:dyDescent="0.25">
      <c r="A231" s="164" t="s">
        <v>396</v>
      </c>
      <c r="B231" s="164" t="s">
        <v>465</v>
      </c>
      <c r="C231" s="174" t="s">
        <v>271</v>
      </c>
      <c r="D231" s="173">
        <v>9194361873</v>
      </c>
      <c r="E231" s="172">
        <v>910964196</v>
      </c>
      <c r="F231" s="164" t="s">
        <v>247</v>
      </c>
      <c r="G231" s="171">
        <v>34547</v>
      </c>
      <c r="H231" s="54">
        <f ca="1">DATEDIF(G231,TODAY(),"Y")</f>
        <v>22</v>
      </c>
      <c r="I231" s="170" t="str">
        <f>CHOOSE(MONTH(G231),"January","February","March","April","May","June","July","August","September","October","November","December")</f>
        <v>August</v>
      </c>
      <c r="J231" s="55"/>
      <c r="K231" s="56">
        <v>59436</v>
      </c>
      <c r="L231" s="169">
        <v>2</v>
      </c>
    </row>
    <row r="232" spans="1:12" x14ac:dyDescent="0.25">
      <c r="A232" s="164" t="s">
        <v>756</v>
      </c>
      <c r="B232" s="164" t="s">
        <v>465</v>
      </c>
      <c r="C232" s="174" t="s">
        <v>271</v>
      </c>
      <c r="D232" s="173">
        <v>9198253211</v>
      </c>
      <c r="E232" s="172">
        <v>676030562</v>
      </c>
      <c r="F232" s="164" t="s">
        <v>256</v>
      </c>
      <c r="G232" s="171">
        <v>36423</v>
      </c>
      <c r="H232" s="54">
        <f ca="1">DATEDIF(G232,TODAY(),"Y")</f>
        <v>17</v>
      </c>
      <c r="I232" s="170" t="str">
        <f>CHOOSE(MONTH(G232),"January","February","March","April","May","June","July","August","September","October","November","December")</f>
        <v>September</v>
      </c>
      <c r="J232" s="55" t="s">
        <v>257</v>
      </c>
      <c r="K232" s="56">
        <v>72120</v>
      </c>
      <c r="L232" s="169">
        <v>1</v>
      </c>
    </row>
    <row r="233" spans="1:12" x14ac:dyDescent="0.25">
      <c r="A233" s="164" t="s">
        <v>881</v>
      </c>
      <c r="B233" s="164" t="s">
        <v>465</v>
      </c>
      <c r="C233" s="174" t="s">
        <v>245</v>
      </c>
      <c r="D233" s="173">
        <v>9198426889</v>
      </c>
      <c r="E233" s="172">
        <v>159117255</v>
      </c>
      <c r="F233" s="164" t="s">
        <v>247</v>
      </c>
      <c r="G233" s="171">
        <v>40558</v>
      </c>
      <c r="H233" s="54">
        <f ca="1">DATEDIF(G233,TODAY(),"Y")</f>
        <v>5</v>
      </c>
      <c r="I233" s="170" t="str">
        <f>CHOOSE(MONTH(G233),"January","February","March","April","May","June","July","August","September","October","November","December")</f>
        <v>January</v>
      </c>
      <c r="J233" s="55"/>
      <c r="K233" s="56">
        <v>94224</v>
      </c>
      <c r="L233" s="169">
        <v>4</v>
      </c>
    </row>
    <row r="234" spans="1:12" x14ac:dyDescent="0.25">
      <c r="A234" s="164" t="s">
        <v>325</v>
      </c>
      <c r="B234" s="164" t="s">
        <v>465</v>
      </c>
      <c r="C234" s="174" t="s">
        <v>271</v>
      </c>
      <c r="D234" s="173">
        <v>2528155179</v>
      </c>
      <c r="E234" s="172">
        <v>984570981</v>
      </c>
      <c r="F234" s="164" t="s">
        <v>261</v>
      </c>
      <c r="G234" s="171">
        <v>36997</v>
      </c>
      <c r="H234" s="54">
        <f ca="1">DATEDIF(G234,TODAY(),"Y")</f>
        <v>15</v>
      </c>
      <c r="I234" s="170" t="str">
        <f>CHOOSE(MONTH(G234),"January","February","March","April","May","June","July","August","September","October","November","December")</f>
        <v>April</v>
      </c>
      <c r="J234" s="55" t="s">
        <v>283</v>
      </c>
      <c r="K234" s="56">
        <v>57828</v>
      </c>
      <c r="L234" s="169">
        <v>1</v>
      </c>
    </row>
    <row r="235" spans="1:12" x14ac:dyDescent="0.25">
      <c r="A235" s="164" t="s">
        <v>958</v>
      </c>
      <c r="B235" s="164" t="s">
        <v>465</v>
      </c>
      <c r="C235" s="174" t="s">
        <v>271</v>
      </c>
      <c r="D235" s="173">
        <v>2521408985</v>
      </c>
      <c r="E235" s="172">
        <v>415299442</v>
      </c>
      <c r="F235" s="164" t="s">
        <v>256</v>
      </c>
      <c r="G235" s="171">
        <v>40424</v>
      </c>
      <c r="H235" s="54">
        <f ca="1">DATEDIF(G235,TODAY(),"Y")</f>
        <v>6</v>
      </c>
      <c r="I235" s="170" t="str">
        <f>CHOOSE(MONTH(G235),"January","February","March","April","May","June","July","August","September","October","November","December")</f>
        <v>September</v>
      </c>
      <c r="J235" s="55" t="s">
        <v>257</v>
      </c>
      <c r="K235" s="56">
        <v>83184</v>
      </c>
      <c r="L235" s="169">
        <v>3</v>
      </c>
    </row>
    <row r="236" spans="1:12" x14ac:dyDescent="0.25">
      <c r="A236" s="164" t="s">
        <v>640</v>
      </c>
      <c r="B236" s="164" t="s">
        <v>465</v>
      </c>
      <c r="C236" s="174" t="s">
        <v>285</v>
      </c>
      <c r="D236" s="173">
        <v>9198294156</v>
      </c>
      <c r="E236" s="172">
        <v>561737107</v>
      </c>
      <c r="F236" s="164" t="s">
        <v>256</v>
      </c>
      <c r="G236" s="171">
        <v>35752</v>
      </c>
      <c r="H236" s="54">
        <f ca="1">DATEDIF(G236,TODAY(),"Y")</f>
        <v>18</v>
      </c>
      <c r="I236" s="170" t="str">
        <f>CHOOSE(MONTH(G236),"January","February","March","April","May","June","July","August","September","October","November","December")</f>
        <v>November</v>
      </c>
      <c r="J236" s="55" t="s">
        <v>283</v>
      </c>
      <c r="K236" s="56">
        <v>87686</v>
      </c>
      <c r="L236" s="169">
        <v>5</v>
      </c>
    </row>
    <row r="237" spans="1:12" x14ac:dyDescent="0.25">
      <c r="A237" s="164" t="s">
        <v>804</v>
      </c>
      <c r="B237" s="164" t="s">
        <v>465</v>
      </c>
      <c r="C237" s="174" t="s">
        <v>285</v>
      </c>
      <c r="D237" s="173">
        <v>9193708610</v>
      </c>
      <c r="E237" s="172">
        <v>542653222</v>
      </c>
      <c r="F237" s="164" t="s">
        <v>247</v>
      </c>
      <c r="G237" s="171">
        <v>36725</v>
      </c>
      <c r="H237" s="54">
        <f ca="1">DATEDIF(G237,TODAY(),"Y")</f>
        <v>16</v>
      </c>
      <c r="I237" s="170" t="str">
        <f>CHOOSE(MONTH(G237),"January","February","March","April","May","June","July","August","September","October","November","December")</f>
        <v>July</v>
      </c>
      <c r="J237" s="55"/>
      <c r="K237" s="56">
        <v>87024</v>
      </c>
      <c r="L237" s="169">
        <v>3</v>
      </c>
    </row>
    <row r="238" spans="1:12" x14ac:dyDescent="0.25">
      <c r="A238" s="164" t="s">
        <v>882</v>
      </c>
      <c r="B238" s="164" t="s">
        <v>465</v>
      </c>
      <c r="C238" s="174" t="s">
        <v>271</v>
      </c>
      <c r="D238" s="173">
        <v>2525918708</v>
      </c>
      <c r="E238" s="172">
        <v>280304785</v>
      </c>
      <c r="F238" s="164" t="s">
        <v>256</v>
      </c>
      <c r="G238" s="171">
        <v>36724</v>
      </c>
      <c r="H238" s="54">
        <f ca="1">DATEDIF(G238,TODAY(),"Y")</f>
        <v>16</v>
      </c>
      <c r="I238" s="170" t="str">
        <f>CHOOSE(MONTH(G238),"January","February","March","April","May","June","July","August","September","October","November","December")</f>
        <v>July</v>
      </c>
      <c r="J238" s="55" t="s">
        <v>257</v>
      </c>
      <c r="K238" s="56">
        <v>48408</v>
      </c>
      <c r="L238" s="169">
        <v>2</v>
      </c>
    </row>
    <row r="239" spans="1:12" x14ac:dyDescent="0.25">
      <c r="A239" s="164" t="s">
        <v>722</v>
      </c>
      <c r="B239" s="164" t="s">
        <v>465</v>
      </c>
      <c r="C239" s="174" t="s">
        <v>251</v>
      </c>
      <c r="D239" s="173">
        <v>9198082183</v>
      </c>
      <c r="E239" s="172">
        <v>100679868</v>
      </c>
      <c r="F239" s="164" t="s">
        <v>261</v>
      </c>
      <c r="G239" s="171">
        <v>36535</v>
      </c>
      <c r="H239" s="54">
        <f ca="1">DATEDIF(G239,TODAY(),"Y")</f>
        <v>16</v>
      </c>
      <c r="I239" s="170" t="str">
        <f>CHOOSE(MONTH(G239),"January","February","March","April","May","June","July","August","September","October","November","December")</f>
        <v>January</v>
      </c>
      <c r="J239" s="55" t="s">
        <v>257</v>
      </c>
      <c r="K239" s="56">
        <v>58602</v>
      </c>
      <c r="L239" s="169">
        <v>5</v>
      </c>
    </row>
    <row r="240" spans="1:12" x14ac:dyDescent="0.25">
      <c r="A240" s="164" t="s">
        <v>962</v>
      </c>
      <c r="B240" s="164" t="s">
        <v>465</v>
      </c>
      <c r="C240" s="174" t="s">
        <v>285</v>
      </c>
      <c r="D240" s="173">
        <v>2528652588</v>
      </c>
      <c r="E240" s="172">
        <v>894030119</v>
      </c>
      <c r="F240" s="164" t="s">
        <v>256</v>
      </c>
      <c r="G240" s="171">
        <v>37796</v>
      </c>
      <c r="H240" s="54">
        <f ca="1">DATEDIF(G240,TODAY(),"Y")</f>
        <v>13</v>
      </c>
      <c r="I240" s="170" t="str">
        <f>CHOOSE(MONTH(G240),"January","February","March","April","May","June","July","August","September","October","November","December")</f>
        <v>June</v>
      </c>
      <c r="J240" s="55" t="s">
        <v>262</v>
      </c>
      <c r="K240" s="56">
        <v>79212</v>
      </c>
      <c r="L240" s="169">
        <v>5</v>
      </c>
    </row>
    <row r="241" spans="1:12" x14ac:dyDescent="0.25">
      <c r="A241" s="164" t="s">
        <v>328</v>
      </c>
      <c r="B241" s="164" t="s">
        <v>465</v>
      </c>
      <c r="C241" s="174" t="s">
        <v>285</v>
      </c>
      <c r="D241" s="173">
        <v>9191449596</v>
      </c>
      <c r="E241" s="172">
        <v>948480407</v>
      </c>
      <c r="F241" s="164" t="s">
        <v>247</v>
      </c>
      <c r="G241" s="171">
        <v>38362</v>
      </c>
      <c r="H241" s="54">
        <f ca="1">DATEDIF(G241,TODAY(),"Y")</f>
        <v>11</v>
      </c>
      <c r="I241" s="170" t="str">
        <f>CHOOSE(MONTH(G241),"January","February","March","April","May","June","July","August","September","October","November","December")</f>
        <v>January</v>
      </c>
      <c r="J241" s="55"/>
      <c r="K241" s="56">
        <v>73644</v>
      </c>
      <c r="L241" s="169">
        <v>3</v>
      </c>
    </row>
    <row r="242" spans="1:12" x14ac:dyDescent="0.25">
      <c r="A242" s="164" t="s">
        <v>525</v>
      </c>
      <c r="B242" s="164" t="s">
        <v>465</v>
      </c>
      <c r="C242" s="174" t="s">
        <v>280</v>
      </c>
      <c r="D242" s="173">
        <v>2524442142</v>
      </c>
      <c r="E242" s="172">
        <v>466293520</v>
      </c>
      <c r="F242" s="164" t="s">
        <v>252</v>
      </c>
      <c r="G242" s="171">
        <v>34479</v>
      </c>
      <c r="H242" s="54">
        <f ca="1">DATEDIF(G242,TODAY(),"Y")</f>
        <v>22</v>
      </c>
      <c r="I242" s="170" t="str">
        <f>CHOOSE(MONTH(G242),"January","February","March","April","May","June","July","August","September","October","November","December")</f>
        <v>May</v>
      </c>
      <c r="J242" s="55"/>
      <c r="K242" s="56">
        <v>26813</v>
      </c>
      <c r="L242" s="169">
        <v>4</v>
      </c>
    </row>
    <row r="243" spans="1:12" x14ac:dyDescent="0.25">
      <c r="A243" s="164" t="s">
        <v>964</v>
      </c>
      <c r="B243" s="164" t="s">
        <v>465</v>
      </c>
      <c r="C243" s="174" t="s">
        <v>245</v>
      </c>
      <c r="D243" s="173">
        <v>2524785979</v>
      </c>
      <c r="E243" s="172">
        <v>865073824</v>
      </c>
      <c r="F243" s="164" t="s">
        <v>256</v>
      </c>
      <c r="G243" s="171">
        <v>35269</v>
      </c>
      <c r="H243" s="54">
        <f ca="1">DATEDIF(G243,TODAY(),"Y")</f>
        <v>20</v>
      </c>
      <c r="I243" s="170" t="str">
        <f>CHOOSE(MONTH(G243),"January","February","March","April","May","June","July","August","September","October","November","December")</f>
        <v>July</v>
      </c>
      <c r="J243" s="55" t="s">
        <v>276</v>
      </c>
      <c r="K243" s="56">
        <v>41376</v>
      </c>
      <c r="L243" s="169">
        <v>3</v>
      </c>
    </row>
    <row r="244" spans="1:12" x14ac:dyDescent="0.25">
      <c r="A244" s="164" t="s">
        <v>885</v>
      </c>
      <c r="B244" s="164" t="s">
        <v>465</v>
      </c>
      <c r="C244" s="174" t="s">
        <v>285</v>
      </c>
      <c r="D244" s="173">
        <v>2523909820</v>
      </c>
      <c r="E244" s="172">
        <v>475517002</v>
      </c>
      <c r="F244" s="164" t="s">
        <v>256</v>
      </c>
      <c r="G244" s="171">
        <v>37046</v>
      </c>
      <c r="H244" s="54">
        <f ca="1">DATEDIF(G244,TODAY(),"Y")</f>
        <v>15</v>
      </c>
      <c r="I244" s="170" t="str">
        <f>CHOOSE(MONTH(G244),"January","February","March","April","May","June","July","August","September","October","November","December")</f>
        <v>June</v>
      </c>
      <c r="J244" s="55" t="s">
        <v>283</v>
      </c>
      <c r="K244" s="56">
        <v>82500</v>
      </c>
      <c r="L244" s="169">
        <v>1</v>
      </c>
    </row>
    <row r="245" spans="1:12" x14ac:dyDescent="0.25">
      <c r="A245" s="164" t="s">
        <v>527</v>
      </c>
      <c r="B245" s="164" t="s">
        <v>465</v>
      </c>
      <c r="C245" s="174" t="s">
        <v>266</v>
      </c>
      <c r="D245" s="173">
        <v>9191308831</v>
      </c>
      <c r="E245" s="172">
        <v>523758324</v>
      </c>
      <c r="F245" s="164" t="s">
        <v>256</v>
      </c>
      <c r="G245" s="171">
        <v>36089</v>
      </c>
      <c r="H245" s="54">
        <f ca="1">DATEDIF(G245,TODAY(),"Y")</f>
        <v>18</v>
      </c>
      <c r="I245" s="170" t="str">
        <f>CHOOSE(MONTH(G245),"January","February","March","April","May","June","July","August","September","October","November","December")</f>
        <v>October</v>
      </c>
      <c r="J245" s="55" t="s">
        <v>257</v>
      </c>
      <c r="K245" s="56">
        <v>71184</v>
      </c>
      <c r="L245" s="169">
        <v>4</v>
      </c>
    </row>
    <row r="246" spans="1:12" x14ac:dyDescent="0.25">
      <c r="A246" s="164" t="s">
        <v>886</v>
      </c>
      <c r="B246" s="164" t="s">
        <v>465</v>
      </c>
      <c r="C246" s="174" t="s">
        <v>271</v>
      </c>
      <c r="D246" s="173">
        <v>9191591006</v>
      </c>
      <c r="E246" s="172">
        <v>775217609</v>
      </c>
      <c r="F246" s="164" t="s">
        <v>256</v>
      </c>
      <c r="G246" s="171">
        <v>35132</v>
      </c>
      <c r="H246" s="54">
        <f ca="1">DATEDIF(G246,TODAY(),"Y")</f>
        <v>20</v>
      </c>
      <c r="I246" s="170" t="str">
        <f>CHOOSE(MONTH(G246),"January","February","March","April","May","June","July","August","September","October","November","December")</f>
        <v>March</v>
      </c>
      <c r="J246" s="55" t="s">
        <v>283</v>
      </c>
      <c r="K246" s="56">
        <v>29652</v>
      </c>
      <c r="L246" s="169">
        <v>2</v>
      </c>
    </row>
    <row r="247" spans="1:12" x14ac:dyDescent="0.25">
      <c r="A247" s="164" t="s">
        <v>966</v>
      </c>
      <c r="B247" s="164" t="s">
        <v>465</v>
      </c>
      <c r="C247" s="174" t="s">
        <v>280</v>
      </c>
      <c r="D247" s="173">
        <v>9191847141</v>
      </c>
      <c r="E247" s="172">
        <v>725737456</v>
      </c>
      <c r="F247" s="164" t="s">
        <v>247</v>
      </c>
      <c r="G247" s="171">
        <v>39602</v>
      </c>
      <c r="H247" s="54">
        <f ca="1">DATEDIF(G247,TODAY(),"Y")</f>
        <v>8</v>
      </c>
      <c r="I247" s="170" t="str">
        <f>CHOOSE(MONTH(G247),"January","February","March","April","May","June","July","August","September","October","November","December")</f>
        <v>June</v>
      </c>
      <c r="J247" s="55"/>
      <c r="K247" s="56">
        <v>71196</v>
      </c>
      <c r="L247" s="169">
        <v>4</v>
      </c>
    </row>
    <row r="248" spans="1:12" x14ac:dyDescent="0.25">
      <c r="A248" s="164" t="s">
        <v>809</v>
      </c>
      <c r="B248" s="164" t="s">
        <v>465</v>
      </c>
      <c r="C248" s="174" t="s">
        <v>271</v>
      </c>
      <c r="D248" s="173">
        <v>2525185281</v>
      </c>
      <c r="E248" s="172">
        <v>220781349</v>
      </c>
      <c r="F248" s="164" t="s">
        <v>247</v>
      </c>
      <c r="G248" s="171">
        <v>34877</v>
      </c>
      <c r="H248" s="54">
        <f ca="1">DATEDIF(G248,TODAY(),"Y")</f>
        <v>21</v>
      </c>
      <c r="I248" s="170" t="str">
        <f>CHOOSE(MONTH(G248),"January","February","March","April","May","June","July","August","September","October","November","December")</f>
        <v>June</v>
      </c>
      <c r="J248" s="55"/>
      <c r="K248" s="56">
        <v>54924</v>
      </c>
      <c r="L248" s="169">
        <v>5</v>
      </c>
    </row>
    <row r="249" spans="1:12" x14ac:dyDescent="0.25">
      <c r="A249" s="164" t="s">
        <v>724</v>
      </c>
      <c r="B249" s="164" t="s">
        <v>465</v>
      </c>
      <c r="C249" s="174" t="s">
        <v>245</v>
      </c>
      <c r="D249" s="173">
        <v>2528159919</v>
      </c>
      <c r="E249" s="172">
        <v>353414196</v>
      </c>
      <c r="F249" s="164" t="s">
        <v>256</v>
      </c>
      <c r="G249" s="171">
        <v>37426</v>
      </c>
      <c r="H249" s="54">
        <f ca="1">DATEDIF(G249,TODAY(),"Y")</f>
        <v>14</v>
      </c>
      <c r="I249" s="170" t="str">
        <f>CHOOSE(MONTH(G249),"January","February","March","April","May","June","July","August","September","October","November","December")</f>
        <v>June</v>
      </c>
      <c r="J249" s="55" t="s">
        <v>267</v>
      </c>
      <c r="K249" s="56">
        <v>28380</v>
      </c>
      <c r="L249" s="169">
        <v>1</v>
      </c>
    </row>
    <row r="250" spans="1:12" x14ac:dyDescent="0.25">
      <c r="A250" s="175" t="s">
        <v>279</v>
      </c>
      <c r="B250" s="164" t="s">
        <v>465</v>
      </c>
      <c r="C250" s="174" t="s">
        <v>285</v>
      </c>
      <c r="D250" s="173">
        <v>9195043141</v>
      </c>
      <c r="E250" s="172">
        <v>597131266</v>
      </c>
      <c r="F250" s="164" t="s">
        <v>256</v>
      </c>
      <c r="G250" s="171">
        <v>36431</v>
      </c>
      <c r="H250" s="54">
        <f ca="1">DATEDIF(G250,TODAY(),"Y")</f>
        <v>17</v>
      </c>
      <c r="I250" s="170" t="str">
        <f>CHOOSE(MONTH(G250),"January","February","March","April","May","June","July","August","September","October","November","December")</f>
        <v>September</v>
      </c>
      <c r="J250" s="55" t="s">
        <v>262</v>
      </c>
      <c r="K250" s="56">
        <v>79716</v>
      </c>
      <c r="L250" s="169">
        <v>2</v>
      </c>
    </row>
    <row r="251" spans="1:12" x14ac:dyDescent="0.25">
      <c r="A251" s="164" t="s">
        <v>890</v>
      </c>
      <c r="B251" s="164" t="s">
        <v>465</v>
      </c>
      <c r="C251" s="174" t="s">
        <v>285</v>
      </c>
      <c r="D251" s="173">
        <v>9195089157</v>
      </c>
      <c r="E251" s="172">
        <v>725801036</v>
      </c>
      <c r="F251" s="164" t="s">
        <v>247</v>
      </c>
      <c r="G251" s="171">
        <v>36700</v>
      </c>
      <c r="H251" s="54">
        <f ca="1">DATEDIF(G251,TODAY(),"Y")</f>
        <v>16</v>
      </c>
      <c r="I251" s="170" t="str">
        <f>CHOOSE(MONTH(G251),"January","February","March","April","May","June","July","August","September","October","November","December")</f>
        <v>June</v>
      </c>
      <c r="J251" s="55"/>
      <c r="K251" s="56">
        <v>86052</v>
      </c>
      <c r="L251" s="169">
        <v>5</v>
      </c>
    </row>
    <row r="252" spans="1:12" x14ac:dyDescent="0.25">
      <c r="A252" s="164" t="s">
        <v>970</v>
      </c>
      <c r="B252" s="164" t="s">
        <v>465</v>
      </c>
      <c r="C252" s="174" t="s">
        <v>271</v>
      </c>
      <c r="D252" s="173">
        <v>2527061632</v>
      </c>
      <c r="E252" s="172">
        <v>371001908</v>
      </c>
      <c r="F252" s="164" t="s">
        <v>256</v>
      </c>
      <c r="G252" s="171">
        <v>36084</v>
      </c>
      <c r="H252" s="54">
        <f ca="1">DATEDIF(G252,TODAY(),"Y")</f>
        <v>18</v>
      </c>
      <c r="I252" s="170" t="str">
        <f>CHOOSE(MONTH(G252),"January","February","March","April","May","June","July","August","September","October","November","December")</f>
        <v>October</v>
      </c>
      <c r="J252" s="55" t="s">
        <v>262</v>
      </c>
      <c r="K252" s="56">
        <v>54576</v>
      </c>
      <c r="L252" s="169">
        <v>4</v>
      </c>
    </row>
    <row r="253" spans="1:12" x14ac:dyDescent="0.25">
      <c r="A253" s="164" t="s">
        <v>813</v>
      </c>
      <c r="B253" s="164" t="s">
        <v>465</v>
      </c>
      <c r="C253" s="174" t="s">
        <v>266</v>
      </c>
      <c r="D253" s="173">
        <v>9195592950</v>
      </c>
      <c r="E253" s="172">
        <v>135965371</v>
      </c>
      <c r="F253" s="164" t="s">
        <v>256</v>
      </c>
      <c r="G253" s="171">
        <v>38664</v>
      </c>
      <c r="H253" s="54">
        <f ca="1">DATEDIF(G253,TODAY(),"Y")</f>
        <v>11</v>
      </c>
      <c r="I253" s="170" t="str">
        <f>CHOOSE(MONTH(G253),"January","February","March","April","May","June","July","August","September","October","November","December")</f>
        <v>November</v>
      </c>
      <c r="J253" s="55" t="s">
        <v>283</v>
      </c>
      <c r="K253" s="56">
        <v>37104</v>
      </c>
      <c r="L253" s="169">
        <v>5</v>
      </c>
    </row>
    <row r="254" spans="1:12" x14ac:dyDescent="0.25">
      <c r="A254" s="164" t="s">
        <v>537</v>
      </c>
      <c r="B254" s="164" t="s">
        <v>465</v>
      </c>
      <c r="C254" s="174" t="s">
        <v>271</v>
      </c>
      <c r="D254" s="173">
        <v>9198038161</v>
      </c>
      <c r="E254" s="172">
        <v>505966230</v>
      </c>
      <c r="F254" s="164" t="s">
        <v>256</v>
      </c>
      <c r="G254" s="171">
        <v>34721</v>
      </c>
      <c r="H254" s="54">
        <f ca="1">DATEDIF(G254,TODAY(),"Y")</f>
        <v>21</v>
      </c>
      <c r="I254" s="170" t="str">
        <f>CHOOSE(MONTH(G254),"January","February","March","April","May","June","July","August","September","October","November","December")</f>
        <v>January</v>
      </c>
      <c r="J254" s="55" t="s">
        <v>283</v>
      </c>
      <c r="K254" s="56">
        <v>54600</v>
      </c>
      <c r="L254" s="169">
        <v>3</v>
      </c>
    </row>
    <row r="255" spans="1:12" x14ac:dyDescent="0.25">
      <c r="A255" s="164" t="s">
        <v>538</v>
      </c>
      <c r="B255" s="164" t="s">
        <v>465</v>
      </c>
      <c r="C255" s="174" t="s">
        <v>280</v>
      </c>
      <c r="D255" s="173">
        <v>9193392642</v>
      </c>
      <c r="E255" s="172">
        <v>647552282</v>
      </c>
      <c r="F255" s="164" t="s">
        <v>247</v>
      </c>
      <c r="G255" s="171">
        <v>34993</v>
      </c>
      <c r="H255" s="54">
        <f ca="1">DATEDIF(G255,TODAY(),"Y")</f>
        <v>21</v>
      </c>
      <c r="I255" s="170" t="str">
        <f>CHOOSE(MONTH(G255),"January","February","March","April","May","June","July","August","September","October","November","December")</f>
        <v>October</v>
      </c>
      <c r="J255" s="55"/>
      <c r="K255" s="56">
        <v>42552</v>
      </c>
      <c r="L255" s="169">
        <v>3</v>
      </c>
    </row>
    <row r="256" spans="1:12" x14ac:dyDescent="0.25">
      <c r="A256" s="164" t="s">
        <v>818</v>
      </c>
      <c r="B256" s="164" t="s">
        <v>465</v>
      </c>
      <c r="C256" s="174" t="s">
        <v>280</v>
      </c>
      <c r="D256" s="173">
        <v>9196422185</v>
      </c>
      <c r="E256" s="172">
        <v>620336005</v>
      </c>
      <c r="F256" s="164" t="s">
        <v>256</v>
      </c>
      <c r="G256" s="171">
        <v>39105</v>
      </c>
      <c r="H256" s="54">
        <f ca="1">DATEDIF(G256,TODAY(),"Y")</f>
        <v>9</v>
      </c>
      <c r="I256" s="170" t="str">
        <f>CHOOSE(MONTH(G256),"January","February","March","April","May","June","July","August","September","October","November","December")</f>
        <v>January</v>
      </c>
      <c r="J256" s="55" t="s">
        <v>257</v>
      </c>
      <c r="K256" s="56">
        <v>49272</v>
      </c>
      <c r="L256" s="169">
        <v>3</v>
      </c>
    </row>
    <row r="257" spans="1:12" x14ac:dyDescent="0.25">
      <c r="A257" s="164" t="s">
        <v>652</v>
      </c>
      <c r="B257" s="164" t="s">
        <v>465</v>
      </c>
      <c r="C257" s="174" t="s">
        <v>245</v>
      </c>
      <c r="D257" s="173">
        <v>9198979762</v>
      </c>
      <c r="E257" s="172">
        <v>488831244</v>
      </c>
      <c r="F257" s="164" t="s">
        <v>261</v>
      </c>
      <c r="G257" s="171">
        <v>38348</v>
      </c>
      <c r="H257" s="54">
        <f ca="1">DATEDIF(G257,TODAY(),"Y")</f>
        <v>11</v>
      </c>
      <c r="I257" s="170" t="str">
        <f>CHOOSE(MONTH(G257),"January","February","March","April","May","June","July","August","September","October","November","December")</f>
        <v>December</v>
      </c>
      <c r="J257" s="55" t="s">
        <v>257</v>
      </c>
      <c r="K257" s="56">
        <v>29352</v>
      </c>
      <c r="L257" s="169">
        <v>1</v>
      </c>
    </row>
    <row r="258" spans="1:12" x14ac:dyDescent="0.25">
      <c r="A258" s="164" t="s">
        <v>979</v>
      </c>
      <c r="B258" s="164" t="s">
        <v>465</v>
      </c>
      <c r="C258" s="174" t="s">
        <v>271</v>
      </c>
      <c r="D258" s="173">
        <v>2524627771</v>
      </c>
      <c r="E258" s="172">
        <v>527185620</v>
      </c>
      <c r="F258" s="164" t="s">
        <v>256</v>
      </c>
      <c r="G258" s="171">
        <v>40998</v>
      </c>
      <c r="H258" s="54">
        <f ca="1">DATEDIF(G258,TODAY(),"Y")</f>
        <v>4</v>
      </c>
      <c r="I258" s="170" t="str">
        <f>CHOOSE(MONTH(G258),"January","February","March","April","May","June","July","August","September","October","November","December")</f>
        <v>March</v>
      </c>
      <c r="J258" s="55" t="s">
        <v>283</v>
      </c>
      <c r="K258" s="56">
        <v>42360</v>
      </c>
      <c r="L258" s="169">
        <v>5</v>
      </c>
    </row>
    <row r="259" spans="1:12" x14ac:dyDescent="0.25">
      <c r="A259" s="164" t="s">
        <v>654</v>
      </c>
      <c r="B259" s="164" t="s">
        <v>465</v>
      </c>
      <c r="C259" s="174" t="s">
        <v>245</v>
      </c>
      <c r="D259" s="173">
        <v>9194897618</v>
      </c>
      <c r="E259" s="172">
        <v>328787467</v>
      </c>
      <c r="F259" s="164" t="s">
        <v>252</v>
      </c>
      <c r="G259" s="171">
        <v>39815</v>
      </c>
      <c r="H259" s="54">
        <f ca="1">DATEDIF(G259,TODAY(),"Y")</f>
        <v>7</v>
      </c>
      <c r="I259" s="170" t="str">
        <f>CHOOSE(MONTH(G259),"January","February","March","April","May","June","July","August","September","October","November","December")</f>
        <v>January</v>
      </c>
      <c r="J259" s="55"/>
      <c r="K259" s="56">
        <v>17299</v>
      </c>
      <c r="L259" s="169">
        <v>4</v>
      </c>
    </row>
    <row r="260" spans="1:12" x14ac:dyDescent="0.25">
      <c r="A260" s="164" t="s">
        <v>687</v>
      </c>
      <c r="B260" s="164" t="s">
        <v>465</v>
      </c>
      <c r="C260" s="174" t="s">
        <v>245</v>
      </c>
      <c r="D260" s="173">
        <v>9192474315</v>
      </c>
      <c r="E260" s="172">
        <v>772163640</v>
      </c>
      <c r="F260" s="164" t="s">
        <v>256</v>
      </c>
      <c r="G260" s="171">
        <v>37172</v>
      </c>
      <c r="H260" s="54">
        <f ca="1">DATEDIF(G260,TODAY(),"Y")</f>
        <v>15</v>
      </c>
      <c r="I260" s="170" t="str">
        <f>CHOOSE(MONTH(G260),"January","February","March","April","May","June","July","August","September","October","November","December")</f>
        <v>October</v>
      </c>
      <c r="J260" s="55" t="s">
        <v>257</v>
      </c>
      <c r="K260" s="56">
        <v>80736</v>
      </c>
      <c r="L260" s="169">
        <v>3</v>
      </c>
    </row>
    <row r="261" spans="1:12" x14ac:dyDescent="0.25">
      <c r="A261" s="164" t="s">
        <v>760</v>
      </c>
      <c r="B261" s="164" t="s">
        <v>465</v>
      </c>
      <c r="C261" s="174" t="s">
        <v>245</v>
      </c>
      <c r="D261" s="173">
        <v>9192053579</v>
      </c>
      <c r="E261" s="172">
        <v>470935648</v>
      </c>
      <c r="F261" s="164" t="s">
        <v>247</v>
      </c>
      <c r="G261" s="171">
        <v>39265</v>
      </c>
      <c r="H261" s="54">
        <f ca="1">DATEDIF(G261,TODAY(),"Y")</f>
        <v>9</v>
      </c>
      <c r="I261" s="170" t="str">
        <f>CHOOSE(MONTH(G261),"January","February","March","April","May","June","July","August","September","October","November","December")</f>
        <v>July</v>
      </c>
      <c r="J261" s="55"/>
      <c r="K261" s="56">
        <v>47616</v>
      </c>
      <c r="L261" s="169">
        <v>1</v>
      </c>
    </row>
    <row r="262" spans="1:12" x14ac:dyDescent="0.25">
      <c r="A262" s="164" t="s">
        <v>897</v>
      </c>
      <c r="B262" s="164" t="s">
        <v>465</v>
      </c>
      <c r="C262" s="174" t="s">
        <v>285</v>
      </c>
      <c r="D262" s="173">
        <v>9195057530</v>
      </c>
      <c r="E262" s="172">
        <v>130619578</v>
      </c>
      <c r="F262" s="164" t="s">
        <v>247</v>
      </c>
      <c r="G262" s="171">
        <v>37446</v>
      </c>
      <c r="H262" s="54">
        <f ca="1">DATEDIF(G262,TODAY(),"Y")</f>
        <v>14</v>
      </c>
      <c r="I262" s="170" t="str">
        <f>CHOOSE(MONTH(G262),"January","February","March","April","May","June","July","August","September","October","November","December")</f>
        <v>July</v>
      </c>
      <c r="J262" s="55"/>
      <c r="K262" s="56">
        <v>107424</v>
      </c>
      <c r="L262" s="169">
        <v>5</v>
      </c>
    </row>
    <row r="263" spans="1:12" x14ac:dyDescent="0.25">
      <c r="A263" s="164" t="s">
        <v>657</v>
      </c>
      <c r="B263" s="164" t="s">
        <v>465</v>
      </c>
      <c r="C263" s="174" t="s">
        <v>266</v>
      </c>
      <c r="D263" s="173">
        <v>2527038033</v>
      </c>
      <c r="E263" s="172">
        <v>165917010</v>
      </c>
      <c r="F263" s="164" t="s">
        <v>247</v>
      </c>
      <c r="G263" s="171">
        <v>35399</v>
      </c>
      <c r="H263" s="54">
        <f ca="1">DATEDIF(G263,TODAY(),"Y")</f>
        <v>19</v>
      </c>
      <c r="I263" s="170" t="str">
        <f>CHOOSE(MONTH(G263),"January","February","March","April","May","June","July","August","September","October","November","December")</f>
        <v>November</v>
      </c>
      <c r="J263" s="55"/>
      <c r="K263" s="56">
        <v>96828</v>
      </c>
      <c r="L263" s="169">
        <v>3</v>
      </c>
    </row>
    <row r="264" spans="1:12" x14ac:dyDescent="0.25">
      <c r="A264" s="164" t="s">
        <v>545</v>
      </c>
      <c r="B264" s="164" t="s">
        <v>465</v>
      </c>
      <c r="C264" s="174" t="s">
        <v>271</v>
      </c>
      <c r="D264" s="173">
        <v>9192672603</v>
      </c>
      <c r="E264" s="172">
        <v>854806695</v>
      </c>
      <c r="F264" s="164" t="s">
        <v>256</v>
      </c>
      <c r="G264" s="171">
        <v>34449</v>
      </c>
      <c r="H264" s="54">
        <f ca="1">DATEDIF(G264,TODAY(),"Y")</f>
        <v>22</v>
      </c>
      <c r="I264" s="170" t="str">
        <f>CHOOSE(MONTH(G264),"January","February","March","April","May","June","July","August","September","October","November","December")</f>
        <v>April</v>
      </c>
      <c r="J264" s="55" t="s">
        <v>283</v>
      </c>
      <c r="K264" s="56">
        <v>31428</v>
      </c>
      <c r="L264" s="169">
        <v>5</v>
      </c>
    </row>
    <row r="265" spans="1:12" x14ac:dyDescent="0.25">
      <c r="A265" s="164" t="s">
        <v>899</v>
      </c>
      <c r="B265" s="164" t="s">
        <v>465</v>
      </c>
      <c r="C265" s="174" t="s">
        <v>271</v>
      </c>
      <c r="D265" s="173">
        <v>2525035104</v>
      </c>
      <c r="E265" s="172">
        <v>995858336</v>
      </c>
      <c r="F265" s="164" t="s">
        <v>247</v>
      </c>
      <c r="G265" s="171">
        <v>41198</v>
      </c>
      <c r="H265" s="54">
        <f ca="1">DATEDIF(G265,TODAY(),"Y")</f>
        <v>4</v>
      </c>
      <c r="I265" s="170" t="str">
        <f>CHOOSE(MONTH(G265),"January","February","March","April","May","June","July","August","September","October","November","December")</f>
        <v>October</v>
      </c>
      <c r="J265" s="55"/>
      <c r="K265" s="56">
        <v>45408</v>
      </c>
      <c r="L265" s="169">
        <v>1</v>
      </c>
    </row>
    <row r="266" spans="1:12" x14ac:dyDescent="0.25">
      <c r="A266" s="164" t="s">
        <v>691</v>
      </c>
      <c r="B266" s="164" t="s">
        <v>465</v>
      </c>
      <c r="C266" s="174" t="s">
        <v>271</v>
      </c>
      <c r="D266" s="173">
        <v>2524249228</v>
      </c>
      <c r="E266" s="172">
        <v>914326052</v>
      </c>
      <c r="F266" s="164" t="s">
        <v>256</v>
      </c>
      <c r="G266" s="171">
        <v>37263</v>
      </c>
      <c r="H266" s="54">
        <f ca="1">DATEDIF(G266,TODAY(),"Y")</f>
        <v>14</v>
      </c>
      <c r="I266" s="170" t="str">
        <f>CHOOSE(MONTH(G266),"January","February","March","April","May","June","July","August","September","October","November","December")</f>
        <v>January</v>
      </c>
      <c r="J266" s="55" t="s">
        <v>257</v>
      </c>
      <c r="K266" s="56">
        <v>91430</v>
      </c>
      <c r="L266" s="169">
        <v>4</v>
      </c>
    </row>
    <row r="267" spans="1:12" x14ac:dyDescent="0.25">
      <c r="A267" s="164" t="s">
        <v>401</v>
      </c>
      <c r="B267" s="164" t="s">
        <v>465</v>
      </c>
      <c r="C267" s="174" t="s">
        <v>285</v>
      </c>
      <c r="D267" s="173">
        <v>9193498222</v>
      </c>
      <c r="E267" s="172">
        <v>914330398</v>
      </c>
      <c r="F267" s="164" t="s">
        <v>256</v>
      </c>
      <c r="G267" s="171">
        <v>39549</v>
      </c>
      <c r="H267" s="54">
        <f ca="1">DATEDIF(G267,TODAY(),"Y")</f>
        <v>8</v>
      </c>
      <c r="I267" s="170" t="str">
        <f>CHOOSE(MONTH(G267),"January","February","March","April","May","June","July","August","September","October","November","December")</f>
        <v>April</v>
      </c>
      <c r="J267" s="55" t="s">
        <v>283</v>
      </c>
      <c r="K267" s="56">
        <v>78864</v>
      </c>
      <c r="L267" s="169">
        <v>1</v>
      </c>
    </row>
    <row r="268" spans="1:12" x14ac:dyDescent="0.25">
      <c r="A268" s="164" t="s">
        <v>550</v>
      </c>
      <c r="B268" s="164" t="s">
        <v>465</v>
      </c>
      <c r="C268" s="174" t="s">
        <v>280</v>
      </c>
      <c r="D268" s="173">
        <v>9195250630</v>
      </c>
      <c r="E268" s="172">
        <v>504914685</v>
      </c>
      <c r="F268" s="164" t="s">
        <v>256</v>
      </c>
      <c r="G268" s="171">
        <v>36812</v>
      </c>
      <c r="H268" s="54">
        <f ca="1">DATEDIF(G268,TODAY(),"Y")</f>
        <v>16</v>
      </c>
      <c r="I268" s="170" t="str">
        <f>CHOOSE(MONTH(G268),"January","February","March","April","May","June","July","August","September","October","November","December")</f>
        <v>October</v>
      </c>
      <c r="J268" s="55" t="s">
        <v>257</v>
      </c>
      <c r="K268" s="56">
        <v>39852</v>
      </c>
      <c r="L268" s="169">
        <v>4</v>
      </c>
    </row>
    <row r="269" spans="1:12" x14ac:dyDescent="0.25">
      <c r="A269" s="164" t="s">
        <v>553</v>
      </c>
      <c r="B269" s="164" t="s">
        <v>465</v>
      </c>
      <c r="C269" s="174" t="s">
        <v>285</v>
      </c>
      <c r="D269" s="173">
        <v>9197046530</v>
      </c>
      <c r="E269" s="172">
        <v>337370590</v>
      </c>
      <c r="F269" s="164" t="s">
        <v>247</v>
      </c>
      <c r="G269" s="171">
        <v>38772</v>
      </c>
      <c r="H269" s="54">
        <f ca="1">DATEDIF(G269,TODAY(),"Y")</f>
        <v>10</v>
      </c>
      <c r="I269" s="170" t="str">
        <f>CHOOSE(MONTH(G269),"January","February","March","April","May","June","July","August","September","October","November","December")</f>
        <v>February</v>
      </c>
      <c r="J269" s="55"/>
      <c r="K269" s="56">
        <v>68892</v>
      </c>
      <c r="L269" s="169">
        <v>2</v>
      </c>
    </row>
    <row r="270" spans="1:12" x14ac:dyDescent="0.25">
      <c r="A270" s="164" t="s">
        <v>341</v>
      </c>
      <c r="B270" s="164" t="s">
        <v>465</v>
      </c>
      <c r="C270" s="174" t="s">
        <v>266</v>
      </c>
      <c r="D270" s="173">
        <v>2525085320</v>
      </c>
      <c r="E270" s="172">
        <v>292993080</v>
      </c>
      <c r="F270" s="164" t="s">
        <v>256</v>
      </c>
      <c r="G270" s="171">
        <v>40183</v>
      </c>
      <c r="H270" s="54">
        <f ca="1">DATEDIF(G270,TODAY(),"Y")</f>
        <v>6</v>
      </c>
      <c r="I270" s="170" t="str">
        <f>CHOOSE(MONTH(G270),"January","February","March","April","May","June","July","August","September","October","November","December")</f>
        <v>January</v>
      </c>
      <c r="J270" s="55" t="s">
        <v>283</v>
      </c>
      <c r="K270" s="56">
        <v>71304</v>
      </c>
      <c r="L270" s="169">
        <v>4</v>
      </c>
    </row>
    <row r="271" spans="1:12" x14ac:dyDescent="0.25">
      <c r="A271" s="164" t="s">
        <v>559</v>
      </c>
      <c r="B271" s="164" t="s">
        <v>465</v>
      </c>
      <c r="C271" s="174" t="s">
        <v>245</v>
      </c>
      <c r="D271" s="173">
        <v>9198999194</v>
      </c>
      <c r="E271" s="172">
        <v>427260216</v>
      </c>
      <c r="F271" s="164" t="s">
        <v>261</v>
      </c>
      <c r="G271" s="171">
        <v>34891</v>
      </c>
      <c r="H271" s="54">
        <f ca="1">DATEDIF(G271,TODAY(),"Y")</f>
        <v>21</v>
      </c>
      <c r="I271" s="170" t="str">
        <f>CHOOSE(MONTH(G271),"January","February","March","April","May","June","July","August","September","October","November","December")</f>
        <v>July</v>
      </c>
      <c r="J271" s="55" t="s">
        <v>262</v>
      </c>
      <c r="K271" s="56">
        <v>22674</v>
      </c>
      <c r="L271" s="169">
        <v>4</v>
      </c>
    </row>
    <row r="272" spans="1:12" x14ac:dyDescent="0.25">
      <c r="A272" s="164" t="s">
        <v>902</v>
      </c>
      <c r="B272" s="164" t="s">
        <v>465</v>
      </c>
      <c r="C272" s="174" t="s">
        <v>285</v>
      </c>
      <c r="D272" s="173">
        <v>2525790872</v>
      </c>
      <c r="E272" s="172">
        <v>249929042</v>
      </c>
      <c r="F272" s="164" t="s">
        <v>256</v>
      </c>
      <c r="G272" s="171">
        <v>39392</v>
      </c>
      <c r="H272" s="54">
        <f ca="1">DATEDIF(G272,TODAY(),"Y")</f>
        <v>9</v>
      </c>
      <c r="I272" s="170" t="str">
        <f>CHOOSE(MONTH(G272),"January","February","March","April","May","June","July","August","September","October","November","December")</f>
        <v>November</v>
      </c>
      <c r="J272" s="55" t="s">
        <v>257</v>
      </c>
      <c r="K272" s="56">
        <v>73272</v>
      </c>
      <c r="L272" s="169">
        <v>5</v>
      </c>
    </row>
    <row r="273" spans="1:12" x14ac:dyDescent="0.25">
      <c r="A273" s="164" t="s">
        <v>560</v>
      </c>
      <c r="B273" s="164" t="s">
        <v>465</v>
      </c>
      <c r="C273" s="174" t="s">
        <v>280</v>
      </c>
      <c r="D273" s="173">
        <v>9194555389</v>
      </c>
      <c r="E273" s="172">
        <v>487810878</v>
      </c>
      <c r="F273" s="164" t="s">
        <v>256</v>
      </c>
      <c r="G273" s="171">
        <v>34796</v>
      </c>
      <c r="H273" s="54">
        <f ca="1">DATEDIF(G273,TODAY(),"Y")</f>
        <v>21</v>
      </c>
      <c r="I273" s="170" t="str">
        <f>CHOOSE(MONTH(G273),"January","February","March","April","May","June","July","August","September","October","November","December")</f>
        <v>April</v>
      </c>
      <c r="J273" s="55" t="s">
        <v>283</v>
      </c>
      <c r="K273" s="56">
        <v>27996</v>
      </c>
      <c r="L273" s="169">
        <v>4</v>
      </c>
    </row>
    <row r="274" spans="1:12" x14ac:dyDescent="0.25">
      <c r="A274" s="164" t="s">
        <v>988</v>
      </c>
      <c r="B274" s="164" t="s">
        <v>465</v>
      </c>
      <c r="C274" s="174" t="s">
        <v>245</v>
      </c>
      <c r="D274" s="173">
        <v>9196633751</v>
      </c>
      <c r="E274" s="172">
        <v>361925033</v>
      </c>
      <c r="F274" s="164" t="s">
        <v>247</v>
      </c>
      <c r="G274" s="171">
        <v>39017</v>
      </c>
      <c r="H274" s="54">
        <f ca="1">DATEDIF(G274,TODAY(),"Y")</f>
        <v>10</v>
      </c>
      <c r="I274" s="170" t="str">
        <f>CHOOSE(MONTH(G274),"January","February","March","April","May","June","July","August","September","October","November","December")</f>
        <v>October</v>
      </c>
      <c r="J274" s="55"/>
      <c r="K274" s="56">
        <v>86196</v>
      </c>
      <c r="L274" s="169">
        <v>3</v>
      </c>
    </row>
    <row r="275" spans="1:12" x14ac:dyDescent="0.25">
      <c r="A275" s="164" t="s">
        <v>460</v>
      </c>
      <c r="B275" s="164" t="s">
        <v>465</v>
      </c>
      <c r="C275" s="174" t="s">
        <v>285</v>
      </c>
      <c r="D275" s="173">
        <v>9194733288</v>
      </c>
      <c r="E275" s="172">
        <v>903618594</v>
      </c>
      <c r="F275" s="164" t="s">
        <v>256</v>
      </c>
      <c r="G275" s="171">
        <v>38594</v>
      </c>
      <c r="H275" s="54">
        <f ca="1">DATEDIF(G275,TODAY(),"Y")</f>
        <v>11</v>
      </c>
      <c r="I275" s="170" t="str">
        <f>CHOOSE(MONTH(G275),"January","February","March","April","May","June","July","August","September","October","November","December")</f>
        <v>August</v>
      </c>
      <c r="J275" s="55" t="s">
        <v>262</v>
      </c>
      <c r="K275" s="56">
        <v>65076</v>
      </c>
      <c r="L275" s="169">
        <v>5</v>
      </c>
    </row>
    <row r="276" spans="1:12" x14ac:dyDescent="0.25">
      <c r="A276" s="164" t="s">
        <v>904</v>
      </c>
      <c r="B276" s="164" t="s">
        <v>465</v>
      </c>
      <c r="C276" s="174" t="s">
        <v>285</v>
      </c>
      <c r="D276" s="173">
        <v>2523162442</v>
      </c>
      <c r="E276" s="172">
        <v>920477476</v>
      </c>
      <c r="F276" s="164" t="s">
        <v>247</v>
      </c>
      <c r="G276" s="171">
        <v>35913</v>
      </c>
      <c r="H276" s="54">
        <f ca="1">DATEDIF(G276,TODAY(),"Y")</f>
        <v>18</v>
      </c>
      <c r="I276" s="170" t="str">
        <f>CHOOSE(MONTH(G276),"January","February","March","April","May","June","July","August","September","October","November","December")</f>
        <v>April</v>
      </c>
      <c r="J276" s="55"/>
      <c r="K276" s="56">
        <v>29292</v>
      </c>
      <c r="L276" s="169">
        <v>3</v>
      </c>
    </row>
    <row r="277" spans="1:12" x14ac:dyDescent="0.25">
      <c r="A277" s="164" t="s">
        <v>1028</v>
      </c>
      <c r="B277" s="164" t="s">
        <v>465</v>
      </c>
      <c r="C277" s="174" t="s">
        <v>285</v>
      </c>
      <c r="D277" s="173">
        <v>2525998691</v>
      </c>
      <c r="E277" s="172">
        <v>412611335</v>
      </c>
      <c r="F277" s="164" t="s">
        <v>247</v>
      </c>
      <c r="G277" s="171">
        <v>39235</v>
      </c>
      <c r="H277" s="54">
        <f ca="1">DATEDIF(G277,TODAY(),"Y")</f>
        <v>9</v>
      </c>
      <c r="I277" s="170" t="str">
        <f>CHOOSE(MONTH(G277),"January","February","March","April","May","June","July","August","September","October","November","December")</f>
        <v>June</v>
      </c>
      <c r="J277" s="55"/>
      <c r="K277" s="56">
        <v>49128</v>
      </c>
      <c r="L277" s="169">
        <v>2</v>
      </c>
    </row>
    <row r="278" spans="1:12" x14ac:dyDescent="0.25">
      <c r="A278" s="164" t="s">
        <v>730</v>
      </c>
      <c r="B278" s="164" t="s">
        <v>465</v>
      </c>
      <c r="C278" s="174" t="s">
        <v>285</v>
      </c>
      <c r="D278" s="173">
        <v>2521667727</v>
      </c>
      <c r="E278" s="172">
        <v>356242235</v>
      </c>
      <c r="F278" s="164" t="s">
        <v>261</v>
      </c>
      <c r="G278" s="171">
        <v>37332</v>
      </c>
      <c r="H278" s="54">
        <f ca="1">DATEDIF(G278,TODAY(),"Y")</f>
        <v>14</v>
      </c>
      <c r="I278" s="170" t="str">
        <f>CHOOSE(MONTH(G278),"January","February","March","April","May","June","July","August","September","October","November","December")</f>
        <v>March</v>
      </c>
      <c r="J278" s="55" t="s">
        <v>283</v>
      </c>
      <c r="K278" s="56">
        <v>56052</v>
      </c>
      <c r="L278" s="169">
        <v>3</v>
      </c>
    </row>
    <row r="279" spans="1:12" x14ac:dyDescent="0.25">
      <c r="A279" s="164" t="s">
        <v>825</v>
      </c>
      <c r="B279" s="164" t="s">
        <v>465</v>
      </c>
      <c r="C279" s="174" t="s">
        <v>245</v>
      </c>
      <c r="D279" s="173">
        <v>9193709408</v>
      </c>
      <c r="E279" s="172">
        <v>318068637</v>
      </c>
      <c r="F279" s="164" t="s">
        <v>247</v>
      </c>
      <c r="G279" s="171">
        <v>40266</v>
      </c>
      <c r="H279" s="54">
        <f ca="1">DATEDIF(G279,TODAY(),"Y")</f>
        <v>6</v>
      </c>
      <c r="I279" s="170" t="str">
        <f>CHOOSE(MONTH(G279),"January","February","March","April","May","June","July","August","September","October","November","December")</f>
        <v>March</v>
      </c>
      <c r="J279" s="55"/>
      <c r="K279" s="56">
        <v>75336</v>
      </c>
      <c r="L279" s="169">
        <v>4</v>
      </c>
    </row>
    <row r="280" spans="1:12" x14ac:dyDescent="0.25">
      <c r="A280" s="164" t="s">
        <v>731</v>
      </c>
      <c r="B280" s="164" t="s">
        <v>465</v>
      </c>
      <c r="C280" s="174" t="s">
        <v>285</v>
      </c>
      <c r="D280" s="173">
        <v>2523454032</v>
      </c>
      <c r="E280" s="172">
        <v>319449613</v>
      </c>
      <c r="F280" s="164" t="s">
        <v>256</v>
      </c>
      <c r="G280" s="171">
        <v>37060</v>
      </c>
      <c r="H280" s="54">
        <f ca="1">DATEDIF(G280,TODAY(),"Y")</f>
        <v>15</v>
      </c>
      <c r="I280" s="170" t="str">
        <f>CHOOSE(MONTH(G280),"January","February","March","April","May","June","July","August","September","October","November","December")</f>
        <v>June</v>
      </c>
      <c r="J280" s="55" t="s">
        <v>267</v>
      </c>
      <c r="K280" s="56">
        <v>45312</v>
      </c>
      <c r="L280" s="169">
        <v>2</v>
      </c>
    </row>
    <row r="281" spans="1:12" x14ac:dyDescent="0.25">
      <c r="A281" s="164" t="s">
        <v>906</v>
      </c>
      <c r="B281" s="164" t="s">
        <v>465</v>
      </c>
      <c r="C281" s="174" t="s">
        <v>271</v>
      </c>
      <c r="D281" s="173">
        <v>9192687844</v>
      </c>
      <c r="E281" s="172">
        <v>843064707</v>
      </c>
      <c r="F281" s="164" t="s">
        <v>247</v>
      </c>
      <c r="G281" s="171">
        <v>41408</v>
      </c>
      <c r="H281" s="54">
        <f ca="1">DATEDIF(G281,TODAY(),"Y")</f>
        <v>3</v>
      </c>
      <c r="I281" s="170" t="str">
        <f>CHOOSE(MONTH(G281),"January","February","March","April","May","June","July","August","September","October","November","December")</f>
        <v>May</v>
      </c>
      <c r="J281" s="55"/>
      <c r="K281" s="56">
        <v>68532</v>
      </c>
      <c r="L281" s="169">
        <v>3</v>
      </c>
    </row>
    <row r="282" spans="1:12" x14ac:dyDescent="0.25">
      <c r="A282" s="164" t="s">
        <v>992</v>
      </c>
      <c r="B282" s="164" t="s">
        <v>465</v>
      </c>
      <c r="C282" s="174" t="s">
        <v>271</v>
      </c>
      <c r="D282" s="173">
        <v>9196689962</v>
      </c>
      <c r="E282" s="172">
        <v>962553692</v>
      </c>
      <c r="F282" s="164" t="s">
        <v>256</v>
      </c>
      <c r="G282" s="171">
        <v>35884</v>
      </c>
      <c r="H282" s="54">
        <f ca="1">DATEDIF(G282,TODAY(),"Y")</f>
        <v>18</v>
      </c>
      <c r="I282" s="170" t="str">
        <f>CHOOSE(MONTH(G282),"January","February","March","April","May","June","July","August","September","October","November","December")</f>
        <v>March</v>
      </c>
      <c r="J282" s="55" t="s">
        <v>283</v>
      </c>
      <c r="K282" s="56">
        <v>103512</v>
      </c>
      <c r="L282" s="169">
        <v>3</v>
      </c>
    </row>
    <row r="283" spans="1:12" x14ac:dyDescent="0.25">
      <c r="A283" s="164" t="s">
        <v>564</v>
      </c>
      <c r="B283" s="164" t="s">
        <v>465</v>
      </c>
      <c r="C283" s="174" t="s">
        <v>285</v>
      </c>
      <c r="D283" s="173">
        <v>9196410575</v>
      </c>
      <c r="E283" s="172">
        <v>428024993</v>
      </c>
      <c r="F283" s="164" t="s">
        <v>247</v>
      </c>
      <c r="G283" s="171">
        <v>34502</v>
      </c>
      <c r="H283" s="54">
        <f ca="1">DATEDIF(G283,TODAY(),"Y")</f>
        <v>22</v>
      </c>
      <c r="I283" s="170" t="str">
        <f>CHOOSE(MONTH(G283),"January","February","March","April","May","June","July","August","September","October","November","December")</f>
        <v>June</v>
      </c>
      <c r="J283" s="55"/>
      <c r="K283" s="56">
        <v>38628</v>
      </c>
      <c r="L283" s="169">
        <v>3</v>
      </c>
    </row>
    <row r="284" spans="1:12" x14ac:dyDescent="0.25">
      <c r="A284" s="164" t="s">
        <v>346</v>
      </c>
      <c r="B284" s="164" t="s">
        <v>465</v>
      </c>
      <c r="C284" s="174" t="s">
        <v>271</v>
      </c>
      <c r="D284" s="173">
        <v>9198256039</v>
      </c>
      <c r="E284" s="172">
        <v>219245495</v>
      </c>
      <c r="F284" s="164" t="s">
        <v>247</v>
      </c>
      <c r="G284" s="171">
        <v>35153</v>
      </c>
      <c r="H284" s="54">
        <f ca="1">DATEDIF(G284,TODAY(),"Y")</f>
        <v>20</v>
      </c>
      <c r="I284" s="170" t="str">
        <f>CHOOSE(MONTH(G284),"January","February","March","April","May","June","July","August","September","October","November","December")</f>
        <v>March</v>
      </c>
      <c r="J284" s="55"/>
      <c r="K284" s="56">
        <v>75972</v>
      </c>
      <c r="L284" s="169">
        <v>3</v>
      </c>
    </row>
    <row r="285" spans="1:12" x14ac:dyDescent="0.25">
      <c r="A285" s="164" t="s">
        <v>440</v>
      </c>
      <c r="B285" s="164" t="s">
        <v>465</v>
      </c>
      <c r="C285" s="174" t="s">
        <v>271</v>
      </c>
      <c r="D285" s="173">
        <v>2524138160</v>
      </c>
      <c r="E285" s="172">
        <v>213584397</v>
      </c>
      <c r="F285" s="164" t="s">
        <v>256</v>
      </c>
      <c r="G285" s="171">
        <v>38059</v>
      </c>
      <c r="H285" s="54">
        <f ca="1">DATEDIF(G285,TODAY(),"Y")</f>
        <v>12</v>
      </c>
      <c r="I285" s="170" t="str">
        <f>CHOOSE(MONTH(G285),"January","February","March","April","May","June","July","August","September","October","November","December")</f>
        <v>March</v>
      </c>
      <c r="J285" s="55" t="s">
        <v>283</v>
      </c>
      <c r="K285" s="56">
        <v>75300</v>
      </c>
      <c r="L285" s="169">
        <v>3</v>
      </c>
    </row>
    <row r="286" spans="1:12" x14ac:dyDescent="0.25">
      <c r="A286" s="164" t="s">
        <v>695</v>
      </c>
      <c r="B286" s="164" t="s">
        <v>465</v>
      </c>
      <c r="C286" s="174" t="s">
        <v>285</v>
      </c>
      <c r="D286" s="173">
        <v>2522263363</v>
      </c>
      <c r="E286" s="172">
        <v>722630791</v>
      </c>
      <c r="F286" s="164" t="s">
        <v>252</v>
      </c>
      <c r="G286" s="171">
        <v>36710</v>
      </c>
      <c r="H286" s="54">
        <f ca="1">DATEDIF(G286,TODAY(),"Y")</f>
        <v>16</v>
      </c>
      <c r="I286" s="170" t="str">
        <f>CHOOSE(MONTH(G286),"January","February","March","April","May","June","July","August","September","October","November","December")</f>
        <v>July</v>
      </c>
      <c r="J286" s="55"/>
      <c r="K286" s="56">
        <v>10685</v>
      </c>
      <c r="L286" s="169">
        <v>3</v>
      </c>
    </row>
    <row r="287" spans="1:12" x14ac:dyDescent="0.25">
      <c r="A287" s="164" t="s">
        <v>735</v>
      </c>
      <c r="B287" s="164" t="s">
        <v>465</v>
      </c>
      <c r="C287" s="174" t="s">
        <v>271</v>
      </c>
      <c r="D287" s="173">
        <v>9194743535</v>
      </c>
      <c r="E287" s="172">
        <v>380653169</v>
      </c>
      <c r="F287" s="164" t="s">
        <v>256</v>
      </c>
      <c r="G287" s="171">
        <v>34879</v>
      </c>
      <c r="H287" s="54">
        <f ca="1">DATEDIF(G287,TODAY(),"Y")</f>
        <v>21</v>
      </c>
      <c r="I287" s="170" t="str">
        <f>CHOOSE(MONTH(G287),"January","February","March","April","May","June","July","August","September","October","November","December")</f>
        <v>June</v>
      </c>
      <c r="J287" s="55" t="s">
        <v>283</v>
      </c>
      <c r="K287" s="56">
        <v>98376</v>
      </c>
      <c r="L287" s="169">
        <v>2</v>
      </c>
    </row>
    <row r="288" spans="1:12" x14ac:dyDescent="0.25">
      <c r="A288" s="164" t="s">
        <v>377</v>
      </c>
      <c r="B288" s="164" t="s">
        <v>465</v>
      </c>
      <c r="C288" s="174" t="s">
        <v>285</v>
      </c>
      <c r="D288" s="173">
        <v>9195267252</v>
      </c>
      <c r="E288" s="172">
        <v>276980518</v>
      </c>
      <c r="F288" s="164" t="s">
        <v>256</v>
      </c>
      <c r="G288" s="171">
        <v>39560</v>
      </c>
      <c r="H288" s="54">
        <f ca="1">DATEDIF(G288,TODAY(),"Y")</f>
        <v>8</v>
      </c>
      <c r="I288" s="170" t="str">
        <f>CHOOSE(MONTH(G288),"January","February","March","April","May","June","July","August","September","October","November","December")</f>
        <v>April</v>
      </c>
      <c r="J288" s="55" t="s">
        <v>276</v>
      </c>
      <c r="K288" s="56">
        <v>35304</v>
      </c>
      <c r="L288" s="169">
        <v>5</v>
      </c>
    </row>
    <row r="289" spans="1:12" x14ac:dyDescent="0.25">
      <c r="A289" s="164" t="s">
        <v>1029</v>
      </c>
      <c r="B289" s="164" t="s">
        <v>465</v>
      </c>
      <c r="C289" s="174" t="s">
        <v>285</v>
      </c>
      <c r="D289" s="173">
        <v>9196705508</v>
      </c>
      <c r="E289" s="172">
        <v>378281658</v>
      </c>
      <c r="F289" s="164" t="s">
        <v>247</v>
      </c>
      <c r="G289" s="171">
        <v>38801</v>
      </c>
      <c r="H289" s="54">
        <f ca="1">DATEDIF(G289,TODAY(),"Y")</f>
        <v>10</v>
      </c>
      <c r="I289" s="170" t="str">
        <f>CHOOSE(MONTH(G289),"January","February","March","April","May","June","July","August","September","October","November","December")</f>
        <v>March</v>
      </c>
      <c r="J289" s="55"/>
      <c r="K289" s="56">
        <v>47160</v>
      </c>
      <c r="L289" s="169">
        <v>2</v>
      </c>
    </row>
    <row r="290" spans="1:12" x14ac:dyDescent="0.25">
      <c r="A290" s="164" t="s">
        <v>573</v>
      </c>
      <c r="B290" s="164" t="s">
        <v>465</v>
      </c>
      <c r="C290" s="174" t="s">
        <v>251</v>
      </c>
      <c r="D290" s="173">
        <v>2522126686</v>
      </c>
      <c r="E290" s="172">
        <v>720538680</v>
      </c>
      <c r="F290" s="164" t="s">
        <v>256</v>
      </c>
      <c r="G290" s="171">
        <v>35211</v>
      </c>
      <c r="H290" s="54">
        <f ca="1">DATEDIF(G290,TODAY(),"Y")</f>
        <v>20</v>
      </c>
      <c r="I290" s="170" t="str">
        <f>CHOOSE(MONTH(G290),"January","February","March","April","May","June","July","August","September","October","November","December")</f>
        <v>May</v>
      </c>
      <c r="J290" s="55" t="s">
        <v>257</v>
      </c>
      <c r="K290" s="56">
        <v>97212</v>
      </c>
      <c r="L290" s="169">
        <v>4</v>
      </c>
    </row>
    <row r="291" spans="1:12" x14ac:dyDescent="0.25">
      <c r="A291" s="164" t="s">
        <v>574</v>
      </c>
      <c r="B291" s="164" t="s">
        <v>465</v>
      </c>
      <c r="C291" s="174" t="s">
        <v>280</v>
      </c>
      <c r="D291" s="173">
        <v>2528973095</v>
      </c>
      <c r="E291" s="172">
        <v>969216994</v>
      </c>
      <c r="F291" s="164" t="s">
        <v>247</v>
      </c>
      <c r="G291" s="171">
        <v>37011</v>
      </c>
      <c r="H291" s="54">
        <f ca="1">DATEDIF(G291,TODAY(),"Y")</f>
        <v>15</v>
      </c>
      <c r="I291" s="170" t="str">
        <f>CHOOSE(MONTH(G291),"January","February","March","April","May","June","July","August","September","October","November","December")</f>
        <v>April</v>
      </c>
      <c r="J291" s="55"/>
      <c r="K291" s="56">
        <v>30156</v>
      </c>
      <c r="L291" s="169">
        <v>5</v>
      </c>
    </row>
    <row r="292" spans="1:12" x14ac:dyDescent="0.25">
      <c r="A292" s="164" t="s">
        <v>351</v>
      </c>
      <c r="B292" s="164" t="s">
        <v>465</v>
      </c>
      <c r="C292" s="174" t="s">
        <v>251</v>
      </c>
      <c r="D292" s="173">
        <v>2528669137</v>
      </c>
      <c r="E292" s="172">
        <v>923123594</v>
      </c>
      <c r="F292" s="164" t="s">
        <v>256</v>
      </c>
      <c r="G292" s="171">
        <v>36926</v>
      </c>
      <c r="H292" s="54">
        <f ca="1">DATEDIF(G292,TODAY(),"Y")</f>
        <v>15</v>
      </c>
      <c r="I292" s="170" t="str">
        <f>CHOOSE(MONTH(G292),"January","February","March","April","May","June","July","August","September","October","November","December")</f>
        <v>February</v>
      </c>
      <c r="J292" s="55" t="s">
        <v>276</v>
      </c>
      <c r="K292" s="56">
        <v>97680</v>
      </c>
      <c r="L292" s="169">
        <v>2</v>
      </c>
    </row>
    <row r="293" spans="1:12" x14ac:dyDescent="0.25">
      <c r="A293" s="164" t="s">
        <v>911</v>
      </c>
      <c r="B293" s="164" t="s">
        <v>465</v>
      </c>
      <c r="C293" s="174" t="s">
        <v>280</v>
      </c>
      <c r="D293" s="173">
        <v>9197819805</v>
      </c>
      <c r="E293" s="172">
        <v>575270646</v>
      </c>
      <c r="F293" s="164" t="s">
        <v>256</v>
      </c>
      <c r="G293" s="171">
        <v>40076</v>
      </c>
      <c r="H293" s="54">
        <f ca="1">DATEDIF(G293,TODAY(),"Y")</f>
        <v>7</v>
      </c>
      <c r="I293" s="170" t="str">
        <f>CHOOSE(MONTH(G293),"January","February","March","April","May","June","July","August","September","October","November","December")</f>
        <v>September</v>
      </c>
      <c r="J293" s="55" t="s">
        <v>257</v>
      </c>
      <c r="K293" s="56">
        <v>55464</v>
      </c>
      <c r="L293" s="169">
        <v>2</v>
      </c>
    </row>
    <row r="294" spans="1:12" x14ac:dyDescent="0.25">
      <c r="A294" s="164" t="s">
        <v>1000</v>
      </c>
      <c r="B294" s="164" t="s">
        <v>465</v>
      </c>
      <c r="C294" s="174" t="s">
        <v>271</v>
      </c>
      <c r="D294" s="173">
        <v>2525344270</v>
      </c>
      <c r="E294" s="172">
        <v>468053610</v>
      </c>
      <c r="F294" s="164" t="s">
        <v>256</v>
      </c>
      <c r="G294" s="171">
        <v>38237</v>
      </c>
      <c r="H294" s="54">
        <f ca="1">DATEDIF(G294,TODAY(),"Y")</f>
        <v>12</v>
      </c>
      <c r="I294" s="170" t="str">
        <f>CHOOSE(MONTH(G294),"January","February","March","April","May","June","July","August","September","October","November","December")</f>
        <v>September</v>
      </c>
      <c r="J294" s="55" t="s">
        <v>283</v>
      </c>
      <c r="K294" s="56">
        <v>82896</v>
      </c>
      <c r="L294" s="169">
        <v>3</v>
      </c>
    </row>
    <row r="295" spans="1:12" x14ac:dyDescent="0.25">
      <c r="A295" s="164" t="s">
        <v>662</v>
      </c>
      <c r="B295" s="164" t="s">
        <v>465</v>
      </c>
      <c r="C295" s="174" t="s">
        <v>285</v>
      </c>
      <c r="D295" s="173">
        <v>9192375580</v>
      </c>
      <c r="E295" s="172">
        <v>594680949</v>
      </c>
      <c r="F295" s="164" t="s">
        <v>261</v>
      </c>
      <c r="G295" s="171">
        <v>37150</v>
      </c>
      <c r="H295" s="54">
        <f ca="1">DATEDIF(G295,TODAY(),"Y")</f>
        <v>15</v>
      </c>
      <c r="I295" s="170" t="str">
        <f>CHOOSE(MONTH(G295),"January","February","March","April","May","June","July","August","September","October","November","December")</f>
        <v>September</v>
      </c>
      <c r="J295" s="55" t="s">
        <v>283</v>
      </c>
      <c r="K295" s="56">
        <v>20724</v>
      </c>
      <c r="L295" s="169">
        <v>5</v>
      </c>
    </row>
    <row r="296" spans="1:12" x14ac:dyDescent="0.25">
      <c r="A296" s="164" t="s">
        <v>663</v>
      </c>
      <c r="B296" s="164" t="s">
        <v>465</v>
      </c>
      <c r="C296" s="174" t="s">
        <v>285</v>
      </c>
      <c r="D296" s="173">
        <v>9192380636</v>
      </c>
      <c r="E296" s="172">
        <v>930282755</v>
      </c>
      <c r="F296" s="164" t="s">
        <v>261</v>
      </c>
      <c r="G296" s="171">
        <v>35917</v>
      </c>
      <c r="H296" s="54">
        <f ca="1">DATEDIF(G296,TODAY(),"Y")</f>
        <v>18</v>
      </c>
      <c r="I296" s="170" t="str">
        <f>CHOOSE(MONTH(G296),"January","February","March","April","May","June","July","August","September","October","November","December")</f>
        <v>May</v>
      </c>
      <c r="J296" s="55" t="s">
        <v>257</v>
      </c>
      <c r="K296" s="56">
        <v>55542</v>
      </c>
      <c r="L296" s="169">
        <v>5</v>
      </c>
    </row>
    <row r="297" spans="1:12" x14ac:dyDescent="0.25">
      <c r="A297" s="164" t="s">
        <v>665</v>
      </c>
      <c r="B297" s="164" t="s">
        <v>465</v>
      </c>
      <c r="C297" s="174" t="s">
        <v>280</v>
      </c>
      <c r="D297" s="173">
        <v>9195915044</v>
      </c>
      <c r="E297" s="172">
        <v>177332873</v>
      </c>
      <c r="F297" s="164" t="s">
        <v>256</v>
      </c>
      <c r="G297" s="171">
        <v>37141</v>
      </c>
      <c r="H297" s="54">
        <f ca="1">DATEDIF(G297,TODAY(),"Y")</f>
        <v>15</v>
      </c>
      <c r="I297" s="170" t="str">
        <f>CHOOSE(MONTH(G297),"January","February","March","April","May","June","July","August","September","October","November","December")</f>
        <v>September</v>
      </c>
      <c r="J297" s="55" t="s">
        <v>257</v>
      </c>
      <c r="K297" s="56">
        <v>48072</v>
      </c>
      <c r="L297" s="169">
        <v>3</v>
      </c>
    </row>
    <row r="298" spans="1:12" x14ac:dyDescent="0.25">
      <c r="A298" s="164" t="s">
        <v>585</v>
      </c>
      <c r="B298" s="164" t="s">
        <v>465</v>
      </c>
      <c r="C298" s="174" t="s">
        <v>245</v>
      </c>
      <c r="D298" s="173">
        <v>9195228292</v>
      </c>
      <c r="E298" s="172">
        <v>612295735</v>
      </c>
      <c r="F298" s="164" t="s">
        <v>256</v>
      </c>
      <c r="G298" s="171">
        <v>36239</v>
      </c>
      <c r="H298" s="54">
        <f ca="1">DATEDIF(G298,TODAY(),"Y")</f>
        <v>17</v>
      </c>
      <c r="I298" s="170" t="str">
        <f>CHOOSE(MONTH(G298),"January","February","March","April","May","June","July","August","September","October","November","December")</f>
        <v>March</v>
      </c>
      <c r="J298" s="55" t="s">
        <v>283</v>
      </c>
      <c r="K298" s="56">
        <v>87773</v>
      </c>
      <c r="L298" s="169">
        <v>5</v>
      </c>
    </row>
    <row r="299" spans="1:12" x14ac:dyDescent="0.25">
      <c r="A299" s="164" t="s">
        <v>738</v>
      </c>
      <c r="B299" s="164" t="s">
        <v>465</v>
      </c>
      <c r="C299" s="174" t="s">
        <v>266</v>
      </c>
      <c r="D299" s="173">
        <v>9192354572</v>
      </c>
      <c r="E299" s="172">
        <v>881975933</v>
      </c>
      <c r="F299" s="164" t="s">
        <v>256</v>
      </c>
      <c r="G299" s="171">
        <v>36558</v>
      </c>
      <c r="H299" s="54">
        <f ca="1">DATEDIF(G299,TODAY(),"Y")</f>
        <v>16</v>
      </c>
      <c r="I299" s="170" t="str">
        <f>CHOOSE(MONTH(G299),"January","February","March","April","May","June","July","August","September","October","November","December")</f>
        <v>February</v>
      </c>
      <c r="J299" s="55" t="s">
        <v>267</v>
      </c>
      <c r="K299" s="56">
        <v>42552</v>
      </c>
      <c r="L299" s="169">
        <v>5</v>
      </c>
    </row>
    <row r="300" spans="1:12" x14ac:dyDescent="0.25">
      <c r="A300" s="164" t="s">
        <v>587</v>
      </c>
      <c r="B300" s="164" t="s">
        <v>465</v>
      </c>
      <c r="C300" s="174" t="s">
        <v>245</v>
      </c>
      <c r="D300" s="173">
        <v>2526657361</v>
      </c>
      <c r="E300" s="172">
        <v>354619285</v>
      </c>
      <c r="F300" s="164" t="s">
        <v>256</v>
      </c>
      <c r="G300" s="171">
        <v>36850</v>
      </c>
      <c r="H300" s="54">
        <f ca="1">DATEDIF(G300,TODAY(),"Y")</f>
        <v>15</v>
      </c>
      <c r="I300" s="170" t="str">
        <f>CHOOSE(MONTH(G300),"January","February","March","April","May","June","July","August","September","October","November","December")</f>
        <v>November</v>
      </c>
      <c r="J300" s="55" t="s">
        <v>262</v>
      </c>
      <c r="K300" s="56">
        <v>27192</v>
      </c>
      <c r="L300" s="169">
        <v>2</v>
      </c>
    </row>
    <row r="301" spans="1:12" x14ac:dyDescent="0.25">
      <c r="A301" s="164" t="s">
        <v>588</v>
      </c>
      <c r="B301" s="164" t="s">
        <v>465</v>
      </c>
      <c r="C301" s="174" t="s">
        <v>271</v>
      </c>
      <c r="D301" s="173">
        <v>9193302808</v>
      </c>
      <c r="E301" s="172">
        <v>259573806</v>
      </c>
      <c r="F301" s="164" t="s">
        <v>256</v>
      </c>
      <c r="G301" s="171">
        <v>34376</v>
      </c>
      <c r="H301" s="54">
        <f ca="1">DATEDIF(G301,TODAY(),"Y")</f>
        <v>22</v>
      </c>
      <c r="I301" s="170" t="str">
        <f>CHOOSE(MONTH(G301),"January","February","March","April","May","June","July","August","September","October","November","December")</f>
        <v>February</v>
      </c>
      <c r="J301" s="55" t="s">
        <v>276</v>
      </c>
      <c r="K301" s="56">
        <v>72456</v>
      </c>
      <c r="L301" s="169">
        <v>4</v>
      </c>
    </row>
    <row r="302" spans="1:12" x14ac:dyDescent="0.25">
      <c r="A302" s="164" t="s">
        <v>912</v>
      </c>
      <c r="B302" s="164" t="s">
        <v>465</v>
      </c>
      <c r="C302" s="174" t="s">
        <v>285</v>
      </c>
      <c r="D302" s="173">
        <v>9192232339</v>
      </c>
      <c r="E302" s="172">
        <v>798466688</v>
      </c>
      <c r="F302" s="164" t="s">
        <v>256</v>
      </c>
      <c r="G302" s="171">
        <v>40931</v>
      </c>
      <c r="H302" s="54">
        <f ca="1">DATEDIF(G302,TODAY(),"Y")</f>
        <v>4</v>
      </c>
      <c r="I302" s="170" t="str">
        <f>CHOOSE(MONTH(G302),"January","February","March","April","May","June","July","August","September","October","November","December")</f>
        <v>January</v>
      </c>
      <c r="J302" s="55" t="s">
        <v>257</v>
      </c>
      <c r="K302" s="56">
        <v>42720</v>
      </c>
      <c r="L302" s="169">
        <v>5</v>
      </c>
    </row>
    <row r="303" spans="1:12" x14ac:dyDescent="0.25">
      <c r="A303" s="164" t="s">
        <v>1003</v>
      </c>
      <c r="B303" s="164" t="s">
        <v>465</v>
      </c>
      <c r="C303" s="174" t="s">
        <v>285</v>
      </c>
      <c r="D303" s="173">
        <v>9193695179</v>
      </c>
      <c r="E303" s="172">
        <v>618535019</v>
      </c>
      <c r="F303" s="164" t="s">
        <v>256</v>
      </c>
      <c r="G303" s="171">
        <v>36660</v>
      </c>
      <c r="H303" s="54">
        <f ca="1">DATEDIF(G303,TODAY(),"Y")</f>
        <v>16</v>
      </c>
      <c r="I303" s="170" t="str">
        <f>CHOOSE(MONTH(G303),"January","February","March","April","May","June","July","August","September","October","November","December")</f>
        <v>May</v>
      </c>
      <c r="J303" s="55" t="s">
        <v>283</v>
      </c>
      <c r="K303" s="56">
        <v>107688</v>
      </c>
      <c r="L303" s="169">
        <v>5</v>
      </c>
    </row>
    <row r="304" spans="1:12" x14ac:dyDescent="0.25">
      <c r="A304" s="164" t="s">
        <v>286</v>
      </c>
      <c r="B304" s="164" t="s">
        <v>465</v>
      </c>
      <c r="C304" s="174" t="s">
        <v>245</v>
      </c>
      <c r="D304" s="173">
        <v>2525228252</v>
      </c>
      <c r="E304" s="172">
        <v>416394493</v>
      </c>
      <c r="F304" s="164" t="s">
        <v>256</v>
      </c>
      <c r="G304" s="171">
        <v>36666</v>
      </c>
      <c r="H304" s="54">
        <f ca="1">DATEDIF(G304,TODAY(),"Y")</f>
        <v>16</v>
      </c>
      <c r="I304" s="170" t="str">
        <f>CHOOSE(MONTH(G304),"January","February","March","April","May","June","July","August","September","October","November","December")</f>
        <v>May</v>
      </c>
      <c r="J304" s="55" t="s">
        <v>267</v>
      </c>
      <c r="K304" s="56">
        <v>66540</v>
      </c>
      <c r="L304" s="169">
        <v>5</v>
      </c>
    </row>
    <row r="305" spans="1:12" x14ac:dyDescent="0.25">
      <c r="A305" s="164" t="s">
        <v>592</v>
      </c>
      <c r="B305" s="164" t="s">
        <v>465</v>
      </c>
      <c r="C305" s="174" t="s">
        <v>280</v>
      </c>
      <c r="D305" s="173">
        <v>9193204992</v>
      </c>
      <c r="E305" s="172">
        <v>396727504</v>
      </c>
      <c r="F305" s="164" t="s">
        <v>247</v>
      </c>
      <c r="G305" s="171">
        <v>37328</v>
      </c>
      <c r="H305" s="54">
        <f ca="1">DATEDIF(G305,TODAY(),"Y")</f>
        <v>14</v>
      </c>
      <c r="I305" s="170" t="str">
        <f>CHOOSE(MONTH(G305),"January","February","March","April","May","June","July","August","September","October","November","December")</f>
        <v>March</v>
      </c>
      <c r="J305" s="55"/>
      <c r="K305" s="56">
        <v>50208</v>
      </c>
      <c r="L305" s="169">
        <v>2</v>
      </c>
    </row>
    <row r="306" spans="1:12" x14ac:dyDescent="0.25">
      <c r="A306" s="164" t="s">
        <v>623</v>
      </c>
      <c r="B306" s="164" t="s">
        <v>465</v>
      </c>
      <c r="C306" s="174" t="s">
        <v>245</v>
      </c>
      <c r="D306" s="173">
        <v>9191765611</v>
      </c>
      <c r="E306" s="172">
        <v>466947318</v>
      </c>
      <c r="F306" s="164" t="s">
        <v>256</v>
      </c>
      <c r="G306" s="171">
        <v>41306</v>
      </c>
      <c r="H306" s="54">
        <f ca="1">DATEDIF(G306,TODAY(),"Y")</f>
        <v>3</v>
      </c>
      <c r="I306" s="170" t="str">
        <f>CHOOSE(MONTH(G306),"January","February","March","April","May","June","July","August","September","October","November","December")</f>
        <v>February</v>
      </c>
      <c r="J306" s="55" t="s">
        <v>257</v>
      </c>
      <c r="K306" s="56">
        <v>52584</v>
      </c>
      <c r="L306" s="169">
        <v>2</v>
      </c>
    </row>
    <row r="307" spans="1:12" x14ac:dyDescent="0.25">
      <c r="A307" s="164" t="s">
        <v>355</v>
      </c>
      <c r="B307" s="164" t="s">
        <v>465</v>
      </c>
      <c r="C307" s="174" t="s">
        <v>245</v>
      </c>
      <c r="D307" s="173">
        <v>2522140101</v>
      </c>
      <c r="E307" s="172">
        <v>138607245</v>
      </c>
      <c r="F307" s="164" t="s">
        <v>247</v>
      </c>
      <c r="G307" s="171">
        <v>34781</v>
      </c>
      <c r="H307" s="54">
        <f ca="1">DATEDIF(G307,TODAY(),"Y")</f>
        <v>21</v>
      </c>
      <c r="I307" s="170" t="str">
        <f>CHOOSE(MONTH(G307),"January","February","March","April","May","June","July","August","September","October","November","December")</f>
        <v>March</v>
      </c>
      <c r="J307" s="55"/>
      <c r="K307" s="56">
        <v>95064</v>
      </c>
      <c r="L307" s="169">
        <v>4</v>
      </c>
    </row>
    <row r="308" spans="1:12" x14ac:dyDescent="0.25">
      <c r="A308" s="164" t="s">
        <v>1548</v>
      </c>
      <c r="B308" s="164" t="s">
        <v>465</v>
      </c>
      <c r="C308" s="174" t="s">
        <v>266</v>
      </c>
      <c r="D308" s="173">
        <v>2527919826</v>
      </c>
      <c r="E308" s="172">
        <v>906321388</v>
      </c>
      <c r="F308" s="164" t="s">
        <v>247</v>
      </c>
      <c r="G308" s="171">
        <v>36088</v>
      </c>
      <c r="H308" s="54">
        <f ca="1">DATEDIF(G308,TODAY(),"Y")</f>
        <v>18</v>
      </c>
      <c r="I308" s="170" t="str">
        <f>CHOOSE(MONTH(G308),"January","February","March","April","May","June","July","August","September","October","November","December")</f>
        <v>October</v>
      </c>
      <c r="J308" s="55"/>
      <c r="K308" s="56">
        <v>33912</v>
      </c>
      <c r="L308" s="169">
        <v>5</v>
      </c>
    </row>
    <row r="309" spans="1:12" x14ac:dyDescent="0.25">
      <c r="A309" s="164" t="s">
        <v>593</v>
      </c>
      <c r="B309" s="164" t="s">
        <v>465</v>
      </c>
      <c r="C309" s="174" t="s">
        <v>271</v>
      </c>
      <c r="D309" s="173">
        <v>2527461285</v>
      </c>
      <c r="E309" s="172">
        <v>569701716</v>
      </c>
      <c r="F309" s="164" t="s">
        <v>261</v>
      </c>
      <c r="G309" s="171">
        <v>36905</v>
      </c>
      <c r="H309" s="54">
        <f ca="1">DATEDIF(G309,TODAY(),"Y")</f>
        <v>15</v>
      </c>
      <c r="I309" s="170" t="str">
        <f>CHOOSE(MONTH(G309),"January","February","March","April","May","June","July","August","September","October","November","December")</f>
        <v>January</v>
      </c>
      <c r="J309" s="55" t="s">
        <v>267</v>
      </c>
      <c r="K309" s="56">
        <v>26004</v>
      </c>
      <c r="L309" s="169">
        <v>2</v>
      </c>
    </row>
    <row r="310" spans="1:12" x14ac:dyDescent="0.25">
      <c r="A310" s="164" t="s">
        <v>837</v>
      </c>
      <c r="B310" s="164" t="s">
        <v>465</v>
      </c>
      <c r="C310" s="174" t="s">
        <v>285</v>
      </c>
      <c r="D310" s="173">
        <v>9195197037</v>
      </c>
      <c r="E310" s="172">
        <v>399060898</v>
      </c>
      <c r="F310" s="164" t="s">
        <v>247</v>
      </c>
      <c r="G310" s="171">
        <v>39049</v>
      </c>
      <c r="H310" s="54">
        <f ca="1">DATEDIF(G310,TODAY(),"Y")</f>
        <v>9</v>
      </c>
      <c r="I310" s="170" t="str">
        <f>CHOOSE(MONTH(G310),"January","February","March","April","May","June","July","August","September","October","November","December")</f>
        <v>November</v>
      </c>
      <c r="J310" s="55"/>
      <c r="K310" s="56">
        <v>45576</v>
      </c>
      <c r="L310" s="169">
        <v>4</v>
      </c>
    </row>
    <row r="311" spans="1:12" x14ac:dyDescent="0.25">
      <c r="A311" s="164" t="s">
        <v>1010</v>
      </c>
      <c r="B311" s="164" t="s">
        <v>465</v>
      </c>
      <c r="C311" s="174" t="s">
        <v>245</v>
      </c>
      <c r="D311" s="173">
        <v>2528405900</v>
      </c>
      <c r="E311" s="172">
        <v>661850671</v>
      </c>
      <c r="F311" s="164" t="s">
        <v>252</v>
      </c>
      <c r="G311" s="171">
        <v>36557</v>
      </c>
      <c r="H311" s="54">
        <f ca="1">DATEDIF(G311,TODAY(),"Y")</f>
        <v>16</v>
      </c>
      <c r="I311" s="170" t="str">
        <f>CHOOSE(MONTH(G311),"January","February","March","April","May","June","July","August","September","October","November","December")</f>
        <v>February</v>
      </c>
      <c r="J311" s="55"/>
      <c r="K311" s="56">
        <v>35011</v>
      </c>
      <c r="L311" s="169">
        <v>3</v>
      </c>
    </row>
    <row r="312" spans="1:12" x14ac:dyDescent="0.25">
      <c r="A312" s="164" t="s">
        <v>697</v>
      </c>
      <c r="B312" s="164" t="s">
        <v>465</v>
      </c>
      <c r="C312" s="174" t="s">
        <v>245</v>
      </c>
      <c r="D312" s="173">
        <v>2526213620</v>
      </c>
      <c r="E312" s="172">
        <v>467030396</v>
      </c>
      <c r="F312" s="164" t="s">
        <v>256</v>
      </c>
      <c r="G312" s="171">
        <v>34448</v>
      </c>
      <c r="H312" s="54">
        <f ca="1">DATEDIF(G312,TODAY(),"Y")</f>
        <v>22</v>
      </c>
      <c r="I312" s="170" t="str">
        <f>CHOOSE(MONTH(G312),"January","February","March","April","May","June","July","August","September","October","November","December")</f>
        <v>April</v>
      </c>
      <c r="J312" s="55" t="s">
        <v>283</v>
      </c>
      <c r="K312" s="56">
        <v>70692</v>
      </c>
      <c r="L312" s="169">
        <v>1</v>
      </c>
    </row>
    <row r="313" spans="1:12" x14ac:dyDescent="0.25">
      <c r="A313" s="164" t="s">
        <v>669</v>
      </c>
      <c r="B313" s="164" t="s">
        <v>465</v>
      </c>
      <c r="C313" s="174" t="s">
        <v>285</v>
      </c>
      <c r="D313" s="173">
        <v>2522889972</v>
      </c>
      <c r="E313" s="172">
        <v>565952209</v>
      </c>
      <c r="F313" s="164" t="s">
        <v>256</v>
      </c>
      <c r="G313" s="171">
        <v>35699</v>
      </c>
      <c r="H313" s="54">
        <f ca="1">DATEDIF(G313,TODAY(),"Y")</f>
        <v>19</v>
      </c>
      <c r="I313" s="170" t="str">
        <f>CHOOSE(MONTH(G313),"January","February","March","April","May","June","July","August","September","October","November","December")</f>
        <v>September</v>
      </c>
      <c r="J313" s="55" t="s">
        <v>283</v>
      </c>
      <c r="K313" s="56">
        <v>80460</v>
      </c>
      <c r="L313" s="169">
        <v>4</v>
      </c>
    </row>
    <row r="314" spans="1:12" x14ac:dyDescent="0.25">
      <c r="A314" s="164" t="s">
        <v>1012</v>
      </c>
      <c r="B314" s="164" t="s">
        <v>465</v>
      </c>
      <c r="C314" s="174" t="s">
        <v>285</v>
      </c>
      <c r="D314" s="173">
        <v>2522153322</v>
      </c>
      <c r="E314" s="172">
        <v>635767088</v>
      </c>
      <c r="F314" s="164" t="s">
        <v>247</v>
      </c>
      <c r="G314" s="171">
        <v>37705</v>
      </c>
      <c r="H314" s="54">
        <f ca="1">DATEDIF(G314,TODAY(),"Y")</f>
        <v>13</v>
      </c>
      <c r="I314" s="170" t="str">
        <f>CHOOSE(MONTH(G314),"January","February","March","April","May","June","July","August","September","October","November","December")</f>
        <v>March</v>
      </c>
      <c r="J314" s="55"/>
      <c r="K314" s="56">
        <v>82212</v>
      </c>
      <c r="L314" s="169">
        <v>5</v>
      </c>
    </row>
    <row r="315" spans="1:12" x14ac:dyDescent="0.25">
      <c r="A315" s="164" t="s">
        <v>742</v>
      </c>
      <c r="B315" s="164" t="s">
        <v>465</v>
      </c>
      <c r="C315" s="174" t="s">
        <v>245</v>
      </c>
      <c r="D315" s="173">
        <v>9195119214</v>
      </c>
      <c r="E315" s="172">
        <v>136620388</v>
      </c>
      <c r="F315" s="164" t="s">
        <v>256</v>
      </c>
      <c r="G315" s="171">
        <v>36442</v>
      </c>
      <c r="H315" s="54">
        <f ca="1">DATEDIF(G315,TODAY(),"Y")</f>
        <v>17</v>
      </c>
      <c r="I315" s="170" t="str">
        <f>CHOOSE(MONTH(G315),"January","February","March","April","May","June","July","August","September","October","November","December")</f>
        <v>October</v>
      </c>
      <c r="J315" s="55" t="s">
        <v>262</v>
      </c>
      <c r="K315" s="56">
        <v>84024</v>
      </c>
      <c r="L315" s="169">
        <v>3</v>
      </c>
    </row>
    <row r="316" spans="1:12" x14ac:dyDescent="0.25">
      <c r="A316" s="164" t="s">
        <v>1013</v>
      </c>
      <c r="B316" s="164" t="s">
        <v>465</v>
      </c>
      <c r="C316" s="174" t="s">
        <v>271</v>
      </c>
      <c r="D316" s="173">
        <v>9198857217</v>
      </c>
      <c r="E316" s="172">
        <v>665773893</v>
      </c>
      <c r="F316" s="164" t="s">
        <v>252</v>
      </c>
      <c r="G316" s="171">
        <v>41302</v>
      </c>
      <c r="H316" s="54">
        <f ca="1">DATEDIF(G316,TODAY(),"Y")</f>
        <v>3</v>
      </c>
      <c r="I316" s="170" t="str">
        <f>CHOOSE(MONTH(G316),"January","February","March","April","May","June","July","August","September","October","November","December")</f>
        <v>January</v>
      </c>
      <c r="J316" s="55"/>
      <c r="K316" s="56">
        <v>34109</v>
      </c>
      <c r="L316" s="169">
        <v>4</v>
      </c>
    </row>
    <row r="317" spans="1:12" x14ac:dyDescent="0.25">
      <c r="A317" s="164" t="s">
        <v>1014</v>
      </c>
      <c r="B317" s="164" t="s">
        <v>465</v>
      </c>
      <c r="C317" s="174" t="s">
        <v>271</v>
      </c>
      <c r="D317" s="173">
        <v>2524982487</v>
      </c>
      <c r="E317" s="172">
        <v>829216164</v>
      </c>
      <c r="F317" s="164" t="s">
        <v>247</v>
      </c>
      <c r="G317" s="171">
        <v>40273</v>
      </c>
      <c r="H317" s="54">
        <f ca="1">DATEDIF(G317,TODAY(),"Y")</f>
        <v>6</v>
      </c>
      <c r="I317" s="170" t="str">
        <f>CHOOSE(MONTH(G317),"January","February","March","April","May","June","July","August","September","October","November","December")</f>
        <v>April</v>
      </c>
      <c r="J317" s="55"/>
      <c r="K317" s="56">
        <v>101004</v>
      </c>
      <c r="L317" s="169">
        <v>2</v>
      </c>
    </row>
    <row r="318" spans="1:12" x14ac:dyDescent="0.25">
      <c r="A318" s="164" t="s">
        <v>603</v>
      </c>
      <c r="B318" s="164" t="s">
        <v>465</v>
      </c>
      <c r="C318" s="174" t="s">
        <v>280</v>
      </c>
      <c r="D318" s="173">
        <v>2526503334</v>
      </c>
      <c r="E318" s="172">
        <v>180095803</v>
      </c>
      <c r="F318" s="164" t="s">
        <v>256</v>
      </c>
      <c r="G318" s="171">
        <v>40700</v>
      </c>
      <c r="H318" s="54">
        <f ca="1">DATEDIF(G318,TODAY(),"Y")</f>
        <v>5</v>
      </c>
      <c r="I318" s="170" t="str">
        <f>CHOOSE(MONTH(G318),"January","February","March","April","May","June","July","August","September","October","November","December")</f>
        <v>June</v>
      </c>
      <c r="J318" s="55" t="s">
        <v>257</v>
      </c>
      <c r="K318" s="56">
        <v>93804</v>
      </c>
      <c r="L318" s="169">
        <v>5</v>
      </c>
    </row>
    <row r="319" spans="1:12" x14ac:dyDescent="0.25">
      <c r="A319" s="164" t="s">
        <v>604</v>
      </c>
      <c r="B319" s="164" t="s">
        <v>465</v>
      </c>
      <c r="C319" s="174" t="s">
        <v>271</v>
      </c>
      <c r="D319" s="173">
        <v>2526052545</v>
      </c>
      <c r="E319" s="172">
        <v>698869555</v>
      </c>
      <c r="F319" s="164" t="s">
        <v>261</v>
      </c>
      <c r="G319" s="171">
        <v>37231</v>
      </c>
      <c r="H319" s="54">
        <f ca="1">DATEDIF(G319,TODAY(),"Y")</f>
        <v>14</v>
      </c>
      <c r="I319" s="170" t="str">
        <f>CHOOSE(MONTH(G319),"January","February","March","April","May","June","July","August","September","October","November","December")</f>
        <v>December</v>
      </c>
      <c r="J319" s="55" t="s">
        <v>267</v>
      </c>
      <c r="K319" s="56">
        <v>49938</v>
      </c>
      <c r="L319" s="169">
        <v>1</v>
      </c>
    </row>
    <row r="320" spans="1:12" x14ac:dyDescent="0.25">
      <c r="A320" s="164" t="s">
        <v>303</v>
      </c>
      <c r="B320" s="164" t="s">
        <v>465</v>
      </c>
      <c r="C320" s="174" t="s">
        <v>251</v>
      </c>
      <c r="D320" s="173">
        <v>2521854525</v>
      </c>
      <c r="E320" s="172">
        <v>682907379</v>
      </c>
      <c r="F320" s="164" t="s">
        <v>256</v>
      </c>
      <c r="G320" s="171">
        <v>36039</v>
      </c>
      <c r="H320" s="54">
        <f ca="1">DATEDIF(G320,TODAY(),"Y")</f>
        <v>18</v>
      </c>
      <c r="I320" s="170" t="str">
        <f>CHOOSE(MONTH(G320),"January","February","March","April","May","June","July","August","September","October","November","December")</f>
        <v>September</v>
      </c>
      <c r="J320" s="55" t="s">
        <v>267</v>
      </c>
      <c r="K320" s="56">
        <v>47424</v>
      </c>
      <c r="L320" s="169">
        <v>5</v>
      </c>
    </row>
    <row r="321" spans="1:12" x14ac:dyDescent="0.25">
      <c r="A321" s="164" t="s">
        <v>674</v>
      </c>
      <c r="B321" s="164" t="s">
        <v>465</v>
      </c>
      <c r="C321" s="174" t="s">
        <v>280</v>
      </c>
      <c r="D321" s="173">
        <v>9197961953</v>
      </c>
      <c r="E321" s="172">
        <v>312019803</v>
      </c>
      <c r="F321" s="164" t="s">
        <v>256</v>
      </c>
      <c r="G321" s="171">
        <v>37957</v>
      </c>
      <c r="H321" s="54">
        <f ca="1">DATEDIF(G321,TODAY(),"Y")</f>
        <v>12</v>
      </c>
      <c r="I321" s="170" t="str">
        <f>CHOOSE(MONTH(G321),"January","February","March","April","May","June","July","August","September","October","November","December")</f>
        <v>December</v>
      </c>
      <c r="J321" s="55" t="s">
        <v>283</v>
      </c>
      <c r="K321" s="56">
        <v>30372</v>
      </c>
      <c r="L321" s="169">
        <v>4</v>
      </c>
    </row>
    <row r="322" spans="1:12" x14ac:dyDescent="0.25">
      <c r="A322" s="164" t="s">
        <v>450</v>
      </c>
      <c r="B322" s="164" t="s">
        <v>465</v>
      </c>
      <c r="C322" s="174" t="s">
        <v>251</v>
      </c>
      <c r="D322" s="173">
        <v>2523077504</v>
      </c>
      <c r="E322" s="172">
        <v>624234626</v>
      </c>
      <c r="F322" s="164" t="s">
        <v>261</v>
      </c>
      <c r="G322" s="171">
        <v>36071</v>
      </c>
      <c r="H322" s="54">
        <f ca="1">DATEDIF(G322,TODAY(),"Y")</f>
        <v>18</v>
      </c>
      <c r="I322" s="170" t="str">
        <f>CHOOSE(MONTH(G322),"January","February","March","April","May","June","July","August","September","October","November","December")</f>
        <v>October</v>
      </c>
      <c r="J322" s="55" t="s">
        <v>257</v>
      </c>
      <c r="K322" s="56">
        <v>55974</v>
      </c>
      <c r="L322" s="169">
        <v>5</v>
      </c>
    </row>
    <row r="323" spans="1:12" x14ac:dyDescent="0.25">
      <c r="A323" s="164" t="s">
        <v>608</v>
      </c>
      <c r="B323" s="164" t="s">
        <v>465</v>
      </c>
      <c r="C323" s="174" t="s">
        <v>271</v>
      </c>
      <c r="D323" s="173">
        <v>9195858234</v>
      </c>
      <c r="E323" s="172">
        <v>512405919</v>
      </c>
      <c r="F323" s="164" t="s">
        <v>256</v>
      </c>
      <c r="G323" s="171">
        <v>38164</v>
      </c>
      <c r="H323" s="54">
        <f ca="1">DATEDIF(G323,TODAY(),"Y")</f>
        <v>12</v>
      </c>
      <c r="I323" s="170" t="str">
        <f>CHOOSE(MONTH(G323),"January","February","March","April","May","June","July","August","September","October","November","December")</f>
        <v>June</v>
      </c>
      <c r="J323" s="55" t="s">
        <v>267</v>
      </c>
      <c r="K323" s="56">
        <v>76956</v>
      </c>
      <c r="L323" s="169">
        <v>1</v>
      </c>
    </row>
    <row r="324" spans="1:12" x14ac:dyDescent="0.25">
      <c r="A324" s="164" t="s">
        <v>845</v>
      </c>
      <c r="B324" s="164" t="s">
        <v>465</v>
      </c>
      <c r="C324" s="174" t="s">
        <v>280</v>
      </c>
      <c r="D324" s="173">
        <v>9198721709</v>
      </c>
      <c r="E324" s="172">
        <v>596008829</v>
      </c>
      <c r="F324" s="164" t="s">
        <v>247</v>
      </c>
      <c r="G324" s="171">
        <v>36739</v>
      </c>
      <c r="H324" s="54">
        <f ca="1">DATEDIF(G324,TODAY(),"Y")</f>
        <v>16</v>
      </c>
      <c r="I324" s="170" t="str">
        <f>CHOOSE(MONTH(G324),"January","February","March","April","May","June","July","August","September","October","November","December")</f>
        <v>August</v>
      </c>
      <c r="J324" s="55"/>
      <c r="K324" s="56">
        <v>54060</v>
      </c>
      <c r="L324" s="169">
        <v>1</v>
      </c>
    </row>
    <row r="325" spans="1:12" x14ac:dyDescent="0.25">
      <c r="A325" s="164" t="s">
        <v>304</v>
      </c>
      <c r="B325" s="164" t="s">
        <v>465</v>
      </c>
      <c r="C325" s="174" t="s">
        <v>280</v>
      </c>
      <c r="D325" s="173">
        <v>2521549933</v>
      </c>
      <c r="E325" s="172">
        <v>366740174</v>
      </c>
      <c r="F325" s="164" t="s">
        <v>252</v>
      </c>
      <c r="G325" s="171">
        <v>34893</v>
      </c>
      <c r="H325" s="54">
        <f ca="1">DATEDIF(G325,TODAY(),"Y")</f>
        <v>21</v>
      </c>
      <c r="I325" s="170" t="str">
        <f>CHOOSE(MONTH(G325),"January","February","March","April","May","June","July","August","September","October","November","December")</f>
        <v>July</v>
      </c>
      <c r="J325" s="55"/>
      <c r="K325" s="56">
        <v>36499</v>
      </c>
      <c r="L325" s="169">
        <v>1</v>
      </c>
    </row>
    <row r="326" spans="1:12" x14ac:dyDescent="0.25">
      <c r="A326" s="164" t="s">
        <v>1018</v>
      </c>
      <c r="B326" s="164" t="s">
        <v>465</v>
      </c>
      <c r="C326" s="174" t="s">
        <v>285</v>
      </c>
      <c r="D326" s="173">
        <v>2524694617</v>
      </c>
      <c r="E326" s="172">
        <v>114005397</v>
      </c>
      <c r="F326" s="164" t="s">
        <v>247</v>
      </c>
      <c r="G326" s="171">
        <v>39917</v>
      </c>
      <c r="H326" s="54">
        <f ca="1">DATEDIF(G326,TODAY(),"Y")</f>
        <v>7</v>
      </c>
      <c r="I326" s="170" t="str">
        <f>CHOOSE(MONTH(G326),"January","February","March","April","May","June","July","August","September","October","November","December")</f>
        <v>April</v>
      </c>
      <c r="J326" s="55"/>
      <c r="K326" s="56">
        <v>76620</v>
      </c>
      <c r="L326" s="169">
        <v>2</v>
      </c>
    </row>
    <row r="327" spans="1:12" x14ac:dyDescent="0.25">
      <c r="A327" s="164" t="s">
        <v>1019</v>
      </c>
      <c r="B327" s="164" t="s">
        <v>465</v>
      </c>
      <c r="C327" s="174" t="s">
        <v>251</v>
      </c>
      <c r="D327" s="173">
        <v>9198912054</v>
      </c>
      <c r="E327" s="172">
        <v>240272873</v>
      </c>
      <c r="F327" s="164" t="s">
        <v>247</v>
      </c>
      <c r="G327" s="171">
        <v>39640</v>
      </c>
      <c r="H327" s="54">
        <f ca="1">DATEDIF(G327,TODAY(),"Y")</f>
        <v>8</v>
      </c>
      <c r="I327" s="170" t="str">
        <f>CHOOSE(MONTH(G327),"January","February","March","April","May","June","July","August","September","October","November","December")</f>
        <v>July</v>
      </c>
      <c r="J327" s="55"/>
      <c r="K327" s="56">
        <v>96396</v>
      </c>
      <c r="L327" s="169">
        <v>4</v>
      </c>
    </row>
    <row r="328" spans="1:12" x14ac:dyDescent="0.25">
      <c r="A328" s="164" t="s">
        <v>293</v>
      </c>
      <c r="B328" s="164" t="s">
        <v>465</v>
      </c>
      <c r="C328" s="174" t="s">
        <v>271</v>
      </c>
      <c r="D328" s="173">
        <v>9192520526</v>
      </c>
      <c r="E328" s="172">
        <v>708108747</v>
      </c>
      <c r="F328" s="164" t="s">
        <v>256</v>
      </c>
      <c r="G328" s="171">
        <v>38671</v>
      </c>
      <c r="H328" s="54">
        <f ca="1">DATEDIF(G328,TODAY(),"Y")</f>
        <v>10</v>
      </c>
      <c r="I328" s="170" t="str">
        <f>CHOOSE(MONTH(G328),"January","February","March","April","May","June","July","August","September","October","November","December")</f>
        <v>November</v>
      </c>
      <c r="J328" s="55" t="s">
        <v>257</v>
      </c>
      <c r="K328" s="56">
        <v>90211</v>
      </c>
      <c r="L328" s="169">
        <v>3</v>
      </c>
    </row>
    <row r="329" spans="1:12" x14ac:dyDescent="0.25">
      <c r="A329" s="164" t="s">
        <v>614</v>
      </c>
      <c r="B329" s="164" t="s">
        <v>465</v>
      </c>
      <c r="C329" s="174" t="s">
        <v>271</v>
      </c>
      <c r="D329" s="173">
        <v>2528560698</v>
      </c>
      <c r="E329" s="172">
        <v>501523688</v>
      </c>
      <c r="F329" s="164" t="s">
        <v>256</v>
      </c>
      <c r="G329" s="171">
        <v>36248</v>
      </c>
      <c r="H329" s="54">
        <f ca="1">DATEDIF(G329,TODAY(),"Y")</f>
        <v>17</v>
      </c>
      <c r="I329" s="170" t="str">
        <f>CHOOSE(MONTH(G329),"January","February","March","April","May","June","July","August","September","October","November","December")</f>
        <v>March</v>
      </c>
      <c r="J329" s="55" t="s">
        <v>257</v>
      </c>
      <c r="K329" s="56">
        <v>95676</v>
      </c>
      <c r="L329" s="169">
        <v>2</v>
      </c>
    </row>
    <row r="330" spans="1:12" x14ac:dyDescent="0.25">
      <c r="A330" s="164" t="s">
        <v>615</v>
      </c>
      <c r="B330" s="164" t="s">
        <v>465</v>
      </c>
      <c r="C330" s="174" t="s">
        <v>271</v>
      </c>
      <c r="D330" s="173">
        <v>2528801464</v>
      </c>
      <c r="E330" s="172">
        <v>806508287</v>
      </c>
      <c r="F330" s="164" t="s">
        <v>256</v>
      </c>
      <c r="G330" s="171">
        <v>34359</v>
      </c>
      <c r="H330" s="54">
        <f ca="1">DATEDIF(G330,TODAY(),"Y")</f>
        <v>22</v>
      </c>
      <c r="I330" s="170" t="str">
        <f>CHOOSE(MONTH(G330),"January","February","March","April","May","June","July","August","September","October","November","December")</f>
        <v>January</v>
      </c>
      <c r="J330" s="55" t="s">
        <v>257</v>
      </c>
      <c r="K330" s="56">
        <v>63528</v>
      </c>
      <c r="L330" s="169">
        <v>4</v>
      </c>
    </row>
    <row r="331" spans="1:12" x14ac:dyDescent="0.25">
      <c r="A331" s="164" t="s">
        <v>294</v>
      </c>
      <c r="B331" s="164" t="s">
        <v>465</v>
      </c>
      <c r="C331" s="174" t="s">
        <v>245</v>
      </c>
      <c r="D331" s="173">
        <v>2522888726</v>
      </c>
      <c r="E331" s="172">
        <v>684054281</v>
      </c>
      <c r="F331" s="164" t="s">
        <v>256</v>
      </c>
      <c r="G331" s="171">
        <v>38874</v>
      </c>
      <c r="H331" s="54">
        <f ca="1">DATEDIF(G331,TODAY(),"Y")</f>
        <v>10</v>
      </c>
      <c r="I331" s="170" t="str">
        <f>CHOOSE(MONTH(G331),"January","February","March","April","May","June","July","August","September","October","November","December")</f>
        <v>June</v>
      </c>
      <c r="J331" s="55" t="s">
        <v>257</v>
      </c>
      <c r="K331" s="56">
        <v>56808</v>
      </c>
      <c r="L331" s="169">
        <v>2</v>
      </c>
    </row>
    <row r="332" spans="1:12" x14ac:dyDescent="0.25">
      <c r="A332" s="164" t="s">
        <v>854</v>
      </c>
      <c r="B332" s="164" t="s">
        <v>465</v>
      </c>
      <c r="C332" s="174" t="s">
        <v>285</v>
      </c>
      <c r="D332" s="173">
        <v>2527237007</v>
      </c>
      <c r="E332" s="172">
        <v>167058119</v>
      </c>
      <c r="F332" s="164" t="s">
        <v>252</v>
      </c>
      <c r="G332" s="171">
        <v>38458</v>
      </c>
      <c r="H332" s="54">
        <f ca="1">DATEDIF(G332,TODAY(),"Y")</f>
        <v>11</v>
      </c>
      <c r="I332" s="170" t="str">
        <f>CHOOSE(MONTH(G332),"January","February","March","April","May","June","July","August","September","October","November","December")</f>
        <v>April</v>
      </c>
      <c r="J332" s="55"/>
      <c r="K332" s="56">
        <v>10670</v>
      </c>
      <c r="L332" s="169">
        <v>1</v>
      </c>
    </row>
    <row r="333" spans="1:12" x14ac:dyDescent="0.25">
      <c r="A333" s="164" t="s">
        <v>616</v>
      </c>
      <c r="B333" s="164" t="s">
        <v>465</v>
      </c>
      <c r="C333" s="174" t="s">
        <v>245</v>
      </c>
      <c r="D333" s="173">
        <v>2525871924</v>
      </c>
      <c r="E333" s="172">
        <v>436778229</v>
      </c>
      <c r="F333" s="164" t="s">
        <v>247</v>
      </c>
      <c r="G333" s="171">
        <v>40550</v>
      </c>
      <c r="H333" s="54">
        <f ca="1">DATEDIF(G333,TODAY(),"Y")</f>
        <v>5</v>
      </c>
      <c r="I333" s="170" t="str">
        <f>CHOOSE(MONTH(G333),"January","February","March","April","May","June","July","August","September","October","November","December")</f>
        <v>January</v>
      </c>
      <c r="J333" s="55"/>
      <c r="K333" s="56">
        <v>72048</v>
      </c>
      <c r="L333" s="169">
        <v>5</v>
      </c>
    </row>
    <row r="334" spans="1:12" x14ac:dyDescent="0.25">
      <c r="A334" s="164" t="s">
        <v>748</v>
      </c>
      <c r="B334" s="164" t="s">
        <v>465</v>
      </c>
      <c r="C334" s="174" t="s">
        <v>245</v>
      </c>
      <c r="D334" s="173">
        <v>2521777060</v>
      </c>
      <c r="E334" s="172">
        <v>405396173</v>
      </c>
      <c r="F334" s="164" t="s">
        <v>256</v>
      </c>
      <c r="G334" s="171">
        <v>39461</v>
      </c>
      <c r="H334" s="54">
        <f ca="1">DATEDIF(G334,TODAY(),"Y")</f>
        <v>8</v>
      </c>
      <c r="I334" s="170" t="str">
        <f>CHOOSE(MONTH(G334),"January","February","March","April","May","June","July","August","September","October","November","December")</f>
        <v>January</v>
      </c>
      <c r="J334" s="55" t="s">
        <v>276</v>
      </c>
      <c r="K334" s="56">
        <v>82452</v>
      </c>
      <c r="L334" s="169">
        <v>4</v>
      </c>
    </row>
    <row r="335" spans="1:12" x14ac:dyDescent="0.25">
      <c r="A335" s="164" t="s">
        <v>505</v>
      </c>
      <c r="B335" s="164" t="s">
        <v>618</v>
      </c>
      <c r="C335" s="174" t="s">
        <v>266</v>
      </c>
      <c r="D335" s="173">
        <v>9191375297</v>
      </c>
      <c r="E335" s="172">
        <v>723930767</v>
      </c>
      <c r="F335" s="164" t="s">
        <v>256</v>
      </c>
      <c r="G335" s="171">
        <v>41041</v>
      </c>
      <c r="H335" s="54">
        <f ca="1">DATEDIF(G335,TODAY(),"Y")</f>
        <v>4</v>
      </c>
      <c r="I335" s="170" t="str">
        <f>CHOOSE(MONTH(G335),"January","February","March","April","May","June","July","August","September","October","November","December")</f>
        <v>May</v>
      </c>
      <c r="J335" s="55" t="s">
        <v>283</v>
      </c>
      <c r="K335" s="56">
        <v>32700</v>
      </c>
      <c r="L335" s="169">
        <v>5</v>
      </c>
    </row>
    <row r="336" spans="1:12" x14ac:dyDescent="0.25">
      <c r="A336" s="164" t="s">
        <v>530</v>
      </c>
      <c r="B336" s="164" t="s">
        <v>618</v>
      </c>
      <c r="C336" s="174" t="s">
        <v>280</v>
      </c>
      <c r="D336" s="173">
        <v>9197077326</v>
      </c>
      <c r="E336" s="172">
        <v>742946482</v>
      </c>
      <c r="F336" s="164" t="s">
        <v>256</v>
      </c>
      <c r="G336" s="171">
        <v>34560</v>
      </c>
      <c r="H336" s="54">
        <f ca="1">DATEDIF(G336,TODAY(),"Y")</f>
        <v>22</v>
      </c>
      <c r="I336" s="170" t="str">
        <f>CHOOSE(MONTH(G336),"January","February","March","April","May","June","July","August","September","October","November","December")</f>
        <v>August</v>
      </c>
      <c r="J336" s="55" t="s">
        <v>257</v>
      </c>
      <c r="K336" s="56">
        <v>46992</v>
      </c>
      <c r="L336" s="169">
        <v>3</v>
      </c>
    </row>
    <row r="337" spans="1:12" x14ac:dyDescent="0.25">
      <c r="A337" s="164" t="s">
        <v>889</v>
      </c>
      <c r="B337" s="164" t="s">
        <v>618</v>
      </c>
      <c r="C337" s="174" t="s">
        <v>245</v>
      </c>
      <c r="D337" s="173">
        <v>9197045091</v>
      </c>
      <c r="E337" s="172">
        <v>292006053</v>
      </c>
      <c r="F337" s="164" t="s">
        <v>247</v>
      </c>
      <c r="G337" s="171">
        <v>37493</v>
      </c>
      <c r="H337" s="54">
        <f ca="1">DATEDIF(G337,TODAY(),"Y")</f>
        <v>14</v>
      </c>
      <c r="I337" s="170" t="str">
        <f>CHOOSE(MONTH(G337),"January","February","March","April","May","June","July","August","September","October","November","December")</f>
        <v>August</v>
      </c>
      <c r="J337" s="55"/>
      <c r="K337" s="56">
        <v>89400</v>
      </c>
      <c r="L337" s="169">
        <v>4</v>
      </c>
    </row>
    <row r="338" spans="1:12" x14ac:dyDescent="0.25">
      <c r="A338" s="175" t="s">
        <v>281</v>
      </c>
      <c r="B338" s="164" t="s">
        <v>618</v>
      </c>
      <c r="C338" s="174" t="s">
        <v>251</v>
      </c>
      <c r="D338" s="173">
        <v>2521535362</v>
      </c>
      <c r="E338" s="172">
        <v>370608224</v>
      </c>
      <c r="F338" s="164" t="s">
        <v>256</v>
      </c>
      <c r="G338" s="171">
        <v>38135</v>
      </c>
      <c r="H338" s="54">
        <f ca="1">DATEDIF(G338,TODAY(),"Y")</f>
        <v>12</v>
      </c>
      <c r="I338" s="170" t="str">
        <f>CHOOSE(MONTH(G338),"January","February","March","April","May","June","July","August","September","October","November","December")</f>
        <v>May</v>
      </c>
      <c r="J338" s="55" t="s">
        <v>257</v>
      </c>
      <c r="K338" s="56">
        <v>70968</v>
      </c>
      <c r="L338" s="169">
        <v>5</v>
      </c>
    </row>
    <row r="339" spans="1:12" x14ac:dyDescent="0.25">
      <c r="A339" s="164" t="s">
        <v>920</v>
      </c>
      <c r="B339" s="164" t="s">
        <v>618</v>
      </c>
      <c r="C339" s="174" t="s">
        <v>285</v>
      </c>
      <c r="D339" s="173">
        <v>2528908079</v>
      </c>
      <c r="E339" s="172">
        <v>214234804</v>
      </c>
      <c r="F339" s="164" t="s">
        <v>256</v>
      </c>
      <c r="G339" s="171">
        <v>38664</v>
      </c>
      <c r="H339" s="54">
        <f ca="1">DATEDIF(G339,TODAY(),"Y")</f>
        <v>11</v>
      </c>
      <c r="I339" s="170" t="str">
        <f>CHOOSE(MONTH(G339),"January","February","March","April","May","June","July","August","September","October","November","December")</f>
        <v>November</v>
      </c>
      <c r="J339" s="55" t="s">
        <v>283</v>
      </c>
      <c r="K339" s="56">
        <v>64644</v>
      </c>
      <c r="L339" s="169">
        <v>2</v>
      </c>
    </row>
    <row r="340" spans="1:12" x14ac:dyDescent="0.25">
      <c r="A340" s="164" t="s">
        <v>612</v>
      </c>
      <c r="B340" s="164" t="s">
        <v>618</v>
      </c>
      <c r="C340" s="174" t="s">
        <v>245</v>
      </c>
      <c r="D340" s="173">
        <v>9191264013</v>
      </c>
      <c r="E340" s="172">
        <v>620072502</v>
      </c>
      <c r="F340" s="164" t="s">
        <v>256</v>
      </c>
      <c r="G340" s="171">
        <v>39766</v>
      </c>
      <c r="H340" s="54">
        <f ca="1">DATEDIF(G340,TODAY(),"Y")</f>
        <v>7</v>
      </c>
      <c r="I340" s="170" t="str">
        <f>CHOOSE(MONTH(G340),"January","February","March","April","May","June","July","August","September","October","November","December")</f>
        <v>November</v>
      </c>
      <c r="J340" s="55" t="s">
        <v>276</v>
      </c>
      <c r="K340" s="56">
        <v>85680</v>
      </c>
      <c r="L340" s="169">
        <v>4</v>
      </c>
    </row>
    <row r="341" spans="1:12" x14ac:dyDescent="0.25">
      <c r="A341" s="164" t="s">
        <v>368</v>
      </c>
      <c r="B341" s="164" t="s">
        <v>618</v>
      </c>
      <c r="C341" s="174" t="s">
        <v>266</v>
      </c>
      <c r="D341" s="173">
        <v>2523906310</v>
      </c>
      <c r="E341" s="172">
        <v>380343690</v>
      </c>
      <c r="F341" s="164" t="s">
        <v>247</v>
      </c>
      <c r="G341" s="171">
        <v>41020</v>
      </c>
      <c r="H341" s="54">
        <f ca="1">DATEDIF(G341,TODAY(),"Y")</f>
        <v>4</v>
      </c>
      <c r="I341" s="170" t="str">
        <f>CHOOSE(MONTH(G341),"January","February","March","April","May","June","July","August","September","October","November","December")</f>
        <v>April</v>
      </c>
      <c r="J341" s="55"/>
      <c r="K341" s="56">
        <v>74268</v>
      </c>
      <c r="L341" s="169">
        <v>2</v>
      </c>
    </row>
    <row r="342" spans="1:12" x14ac:dyDescent="0.25">
      <c r="A342" s="164" t="s">
        <v>466</v>
      </c>
      <c r="B342" s="164" t="s">
        <v>626</v>
      </c>
      <c r="C342" s="174" t="s">
        <v>245</v>
      </c>
      <c r="D342" s="173">
        <v>2524272773</v>
      </c>
      <c r="E342" s="172">
        <v>261920277</v>
      </c>
      <c r="F342" s="164" t="s">
        <v>256</v>
      </c>
      <c r="G342" s="171">
        <v>36584</v>
      </c>
      <c r="H342" s="54">
        <f ca="1">DATEDIF(G342,TODAY(),"Y")</f>
        <v>16</v>
      </c>
      <c r="I342" s="170" t="str">
        <f>CHOOSE(MONTH(G342),"January","February","March","April","May","June","July","August","September","October","November","December")</f>
        <v>February</v>
      </c>
      <c r="J342" s="55" t="s">
        <v>276</v>
      </c>
      <c r="K342" s="56">
        <v>104196</v>
      </c>
      <c r="L342" s="169">
        <v>3</v>
      </c>
    </row>
    <row r="343" spans="1:12" x14ac:dyDescent="0.25">
      <c r="A343" s="164" t="s">
        <v>392</v>
      </c>
      <c r="B343" s="164" t="s">
        <v>626</v>
      </c>
      <c r="C343" s="174" t="s">
        <v>245</v>
      </c>
      <c r="D343" s="173">
        <v>2523383207</v>
      </c>
      <c r="E343" s="172">
        <v>895408697</v>
      </c>
      <c r="F343" s="164" t="s">
        <v>256</v>
      </c>
      <c r="G343" s="171">
        <v>39885</v>
      </c>
      <c r="H343" s="54">
        <f ca="1">DATEDIF(G343,TODAY(),"Y")</f>
        <v>7</v>
      </c>
      <c r="I343" s="170" t="str">
        <f>CHOOSE(MONTH(G343),"January","February","March","April","May","June","July","August","September","October","November","December")</f>
        <v>March</v>
      </c>
      <c r="J343" s="55" t="s">
        <v>283</v>
      </c>
      <c r="K343" s="56">
        <v>57132</v>
      </c>
      <c r="L343" s="169">
        <v>4</v>
      </c>
    </row>
    <row r="344" spans="1:12" x14ac:dyDescent="0.25">
      <c r="A344" s="164" t="s">
        <v>468</v>
      </c>
      <c r="B344" s="164" t="s">
        <v>626</v>
      </c>
      <c r="C344" s="174" t="s">
        <v>251</v>
      </c>
      <c r="D344" s="173">
        <v>9191682521</v>
      </c>
      <c r="E344" s="172">
        <v>788451186</v>
      </c>
      <c r="F344" s="164" t="s">
        <v>247</v>
      </c>
      <c r="G344" s="171">
        <v>39224</v>
      </c>
      <c r="H344" s="54">
        <f ca="1">DATEDIF(G344,TODAY(),"Y")</f>
        <v>9</v>
      </c>
      <c r="I344" s="170" t="str">
        <f>CHOOSE(MONTH(G344),"January","February","March","April","May","June","July","August","September","October","November","December")</f>
        <v>May</v>
      </c>
      <c r="J344" s="55"/>
      <c r="K344" s="56">
        <v>69024</v>
      </c>
      <c r="L344" s="169">
        <v>3</v>
      </c>
    </row>
    <row r="345" spans="1:12" x14ac:dyDescent="0.25">
      <c r="A345" s="164" t="s">
        <v>470</v>
      </c>
      <c r="B345" s="164" t="s">
        <v>626</v>
      </c>
      <c r="C345" s="174" t="s">
        <v>271</v>
      </c>
      <c r="D345" s="173">
        <v>2526971022</v>
      </c>
      <c r="E345" s="172">
        <v>626767704</v>
      </c>
      <c r="F345" s="164" t="s">
        <v>247</v>
      </c>
      <c r="G345" s="171">
        <v>36504</v>
      </c>
      <c r="H345" s="54">
        <f ca="1">DATEDIF(G345,TODAY(),"Y")</f>
        <v>16</v>
      </c>
      <c r="I345" s="170" t="str">
        <f>CHOOSE(MONTH(G345),"January","February","March","April","May","June","July","August","September","October","November","December")</f>
        <v>December</v>
      </c>
      <c r="J345" s="55"/>
      <c r="K345" s="56">
        <v>93516</v>
      </c>
      <c r="L345" s="169">
        <v>5</v>
      </c>
    </row>
    <row r="346" spans="1:12" x14ac:dyDescent="0.25">
      <c r="A346" s="164" t="s">
        <v>934</v>
      </c>
      <c r="B346" s="164" t="s">
        <v>626</v>
      </c>
      <c r="C346" s="174" t="s">
        <v>271</v>
      </c>
      <c r="D346" s="173">
        <v>2526565171</v>
      </c>
      <c r="E346" s="172">
        <v>555025137</v>
      </c>
      <c r="F346" s="164" t="s">
        <v>261</v>
      </c>
      <c r="G346" s="171">
        <v>34047</v>
      </c>
      <c r="H346" s="54">
        <f ca="1">DATEDIF(G346,TODAY(),"Y")</f>
        <v>23</v>
      </c>
      <c r="I346" s="170" t="str">
        <f>CHOOSE(MONTH(G346),"January","February","March","April","May","June","July","August","September","October","November","December")</f>
        <v>March</v>
      </c>
      <c r="J346" s="55" t="s">
        <v>267</v>
      </c>
      <c r="K346" s="56">
        <v>15708</v>
      </c>
      <c r="L346" s="169">
        <v>4</v>
      </c>
    </row>
    <row r="347" spans="1:12" x14ac:dyDescent="0.25">
      <c r="A347" s="164" t="s">
        <v>629</v>
      </c>
      <c r="B347" s="164" t="s">
        <v>626</v>
      </c>
      <c r="C347" s="174" t="s">
        <v>285</v>
      </c>
      <c r="D347" s="173">
        <v>2523986051</v>
      </c>
      <c r="E347" s="172">
        <v>424800509</v>
      </c>
      <c r="F347" s="164" t="s">
        <v>256</v>
      </c>
      <c r="G347" s="171">
        <v>37191</v>
      </c>
      <c r="H347" s="54">
        <f ca="1">DATEDIF(G347,TODAY(),"Y")</f>
        <v>15</v>
      </c>
      <c r="I347" s="170" t="str">
        <f>CHOOSE(MONTH(G347),"January","February","March","April","May","June","July","August","September","October","November","December")</f>
        <v>October</v>
      </c>
      <c r="J347" s="55" t="s">
        <v>257</v>
      </c>
      <c r="K347" s="56">
        <v>53064</v>
      </c>
      <c r="L347" s="169">
        <v>3</v>
      </c>
    </row>
    <row r="348" spans="1:12" x14ac:dyDescent="0.25">
      <c r="A348" s="164" t="s">
        <v>485</v>
      </c>
      <c r="B348" s="164" t="s">
        <v>626</v>
      </c>
      <c r="C348" s="174" t="s">
        <v>245</v>
      </c>
      <c r="D348" s="173">
        <v>9198211050</v>
      </c>
      <c r="E348" s="172">
        <v>372693786</v>
      </c>
      <c r="F348" s="164" t="s">
        <v>261</v>
      </c>
      <c r="G348" s="171">
        <v>37866</v>
      </c>
      <c r="H348" s="54">
        <f ca="1">DATEDIF(G348,TODAY(),"Y")</f>
        <v>13</v>
      </c>
      <c r="I348" s="170" t="str">
        <f>CHOOSE(MONTH(G348),"January","February","March","April","May","June","July","August","September","October","November","December")</f>
        <v>September</v>
      </c>
      <c r="J348" s="55" t="s">
        <v>262</v>
      </c>
      <c r="K348" s="56">
        <v>37332</v>
      </c>
      <c r="L348" s="169">
        <v>1</v>
      </c>
    </row>
    <row r="349" spans="1:12" x14ac:dyDescent="0.25">
      <c r="A349" s="164" t="s">
        <v>683</v>
      </c>
      <c r="B349" s="164" t="s">
        <v>626</v>
      </c>
      <c r="C349" s="174" t="s">
        <v>285</v>
      </c>
      <c r="D349" s="173">
        <v>2521201242</v>
      </c>
      <c r="E349" s="172">
        <v>294161481</v>
      </c>
      <c r="F349" s="164" t="s">
        <v>261</v>
      </c>
      <c r="G349" s="171">
        <v>36822</v>
      </c>
      <c r="H349" s="54">
        <f ca="1">DATEDIF(G349,TODAY(),"Y")</f>
        <v>16</v>
      </c>
      <c r="I349" s="170" t="str">
        <f>CHOOSE(MONTH(G349),"January","February","March","April","May","June","July","August","September","October","November","December")</f>
        <v>October</v>
      </c>
      <c r="J349" s="55" t="s">
        <v>257</v>
      </c>
      <c r="K349" s="56">
        <v>57462</v>
      </c>
      <c r="L349" s="169">
        <v>1</v>
      </c>
    </row>
    <row r="350" spans="1:12" x14ac:dyDescent="0.25">
      <c r="A350" s="164" t="s">
        <v>783</v>
      </c>
      <c r="B350" s="164" t="s">
        <v>626</v>
      </c>
      <c r="C350" s="174" t="s">
        <v>245</v>
      </c>
      <c r="D350" s="173">
        <v>2527687161</v>
      </c>
      <c r="E350" s="172">
        <v>948189231</v>
      </c>
      <c r="F350" s="164" t="s">
        <v>256</v>
      </c>
      <c r="G350" s="171">
        <v>34430</v>
      </c>
      <c r="H350" s="54">
        <f ca="1">DATEDIF(G350,TODAY(),"Y")</f>
        <v>22</v>
      </c>
      <c r="I350" s="170" t="str">
        <f>CHOOSE(MONTH(G350),"January","February","March","April","May","June","July","August","September","October","November","December")</f>
        <v>April</v>
      </c>
      <c r="J350" s="55" t="s">
        <v>257</v>
      </c>
      <c r="K350" s="56">
        <v>44424</v>
      </c>
      <c r="L350" s="169">
        <v>2</v>
      </c>
    </row>
    <row r="351" spans="1:12" x14ac:dyDescent="0.25">
      <c r="A351" s="164" t="s">
        <v>712</v>
      </c>
      <c r="B351" s="164" t="s">
        <v>626</v>
      </c>
      <c r="C351" s="174" t="s">
        <v>251</v>
      </c>
      <c r="D351" s="173">
        <v>9194221208</v>
      </c>
      <c r="E351" s="172">
        <v>159415552</v>
      </c>
      <c r="F351" s="164" t="s">
        <v>256</v>
      </c>
      <c r="G351" s="171">
        <v>34493</v>
      </c>
      <c r="H351" s="54">
        <f ca="1">DATEDIF(G351,TODAY(),"Y")</f>
        <v>22</v>
      </c>
      <c r="I351" s="170" t="str">
        <f>CHOOSE(MONTH(G351),"January","February","March","April","May","June","July","August","September","October","November","December")</f>
        <v>June</v>
      </c>
      <c r="J351" s="55" t="s">
        <v>262</v>
      </c>
      <c r="K351" s="56">
        <v>88716</v>
      </c>
      <c r="L351" s="169">
        <v>1</v>
      </c>
    </row>
    <row r="352" spans="1:12" x14ac:dyDescent="0.25">
      <c r="A352" s="164" t="s">
        <v>494</v>
      </c>
      <c r="B352" s="164" t="s">
        <v>626</v>
      </c>
      <c r="C352" s="174" t="s">
        <v>271</v>
      </c>
      <c r="D352" s="173">
        <v>9196798743</v>
      </c>
      <c r="E352" s="172">
        <v>400260342</v>
      </c>
      <c r="F352" s="164" t="s">
        <v>247</v>
      </c>
      <c r="G352" s="171">
        <v>40011</v>
      </c>
      <c r="H352" s="54">
        <f ca="1">DATEDIF(G352,TODAY(),"Y")</f>
        <v>7</v>
      </c>
      <c r="I352" s="170" t="str">
        <f>CHOOSE(MONTH(G352),"January","February","March","April","May","June","July","August","September","October","November","December")</f>
        <v>July</v>
      </c>
      <c r="J352" s="55"/>
      <c r="K352" s="56">
        <v>89364</v>
      </c>
      <c r="L352" s="169">
        <v>3</v>
      </c>
    </row>
    <row r="353" spans="1:12" x14ac:dyDescent="0.25">
      <c r="A353" s="164" t="s">
        <v>503</v>
      </c>
      <c r="B353" s="164" t="s">
        <v>626</v>
      </c>
      <c r="C353" s="174" t="s">
        <v>245</v>
      </c>
      <c r="D353" s="173">
        <v>9191517218</v>
      </c>
      <c r="E353" s="172">
        <v>980960186</v>
      </c>
      <c r="F353" s="164" t="s">
        <v>261</v>
      </c>
      <c r="G353" s="171">
        <v>39826</v>
      </c>
      <c r="H353" s="54">
        <f ca="1">DATEDIF(G353,TODAY(),"Y")</f>
        <v>7</v>
      </c>
      <c r="I353" s="170" t="str">
        <f>CHOOSE(MONTH(G353),"January","February","March","April","May","June","July","August","September","October","November","December")</f>
        <v>January</v>
      </c>
      <c r="J353" s="55" t="s">
        <v>283</v>
      </c>
      <c r="K353" s="56">
        <v>57246</v>
      </c>
      <c r="L353" s="169">
        <v>5</v>
      </c>
    </row>
    <row r="354" spans="1:12" x14ac:dyDescent="0.25">
      <c r="A354" s="164" t="s">
        <v>322</v>
      </c>
      <c r="B354" s="164" t="s">
        <v>626</v>
      </c>
      <c r="C354" s="174" t="s">
        <v>266</v>
      </c>
      <c r="D354" s="173">
        <v>9193613417</v>
      </c>
      <c r="E354" s="172">
        <v>506165137</v>
      </c>
      <c r="F354" s="164" t="s">
        <v>256</v>
      </c>
      <c r="G354" s="171">
        <v>40811</v>
      </c>
      <c r="H354" s="54">
        <f ca="1">DATEDIF(G354,TODAY(),"Y")</f>
        <v>5</v>
      </c>
      <c r="I354" s="170" t="str">
        <f>CHOOSE(MONTH(G354),"January","February","March","April","May","June","July","August","September","October","November","December")</f>
        <v>September</v>
      </c>
      <c r="J354" s="55" t="s">
        <v>283</v>
      </c>
      <c r="K354" s="56">
        <v>52980</v>
      </c>
      <c r="L354" s="169">
        <v>4</v>
      </c>
    </row>
    <row r="355" spans="1:12" x14ac:dyDescent="0.25">
      <c r="A355" s="164" t="s">
        <v>382</v>
      </c>
      <c r="B355" s="164" t="s">
        <v>626</v>
      </c>
      <c r="C355" s="174" t="s">
        <v>271</v>
      </c>
      <c r="D355" s="173">
        <v>9195299873</v>
      </c>
      <c r="E355" s="172">
        <v>247406371</v>
      </c>
      <c r="F355" s="164" t="s">
        <v>261</v>
      </c>
      <c r="G355" s="171">
        <v>41079</v>
      </c>
      <c r="H355" s="54">
        <f ca="1">DATEDIF(G355,TODAY(),"Y")</f>
        <v>4</v>
      </c>
      <c r="I355" s="170" t="str">
        <f>CHOOSE(MONTH(G355),"January","February","March","April","May","June","July","August","September","October","November","December")</f>
        <v>June</v>
      </c>
      <c r="J355" s="55" t="s">
        <v>283</v>
      </c>
      <c r="K355" s="56">
        <v>24048</v>
      </c>
      <c r="L355" s="169">
        <v>3</v>
      </c>
    </row>
    <row r="356" spans="1:12" x14ac:dyDescent="0.25">
      <c r="A356" s="164" t="s">
        <v>794</v>
      </c>
      <c r="B356" s="164" t="s">
        <v>626</v>
      </c>
      <c r="C356" s="174" t="s">
        <v>251</v>
      </c>
      <c r="D356" s="173">
        <v>2521575684</v>
      </c>
      <c r="E356" s="172">
        <v>154984918</v>
      </c>
      <c r="F356" s="164" t="s">
        <v>256</v>
      </c>
      <c r="G356" s="171">
        <v>34135</v>
      </c>
      <c r="H356" s="54">
        <f ca="1">DATEDIF(G356,TODAY(),"Y")</f>
        <v>23</v>
      </c>
      <c r="I356" s="170" t="str">
        <f>CHOOSE(MONTH(G356),"January","February","March","April","May","June","July","August","September","October","November","December")</f>
        <v>June</v>
      </c>
      <c r="J356" s="55" t="s">
        <v>257</v>
      </c>
      <c r="K356" s="56">
        <v>27480</v>
      </c>
      <c r="L356" s="169">
        <v>1</v>
      </c>
    </row>
    <row r="357" spans="1:12" x14ac:dyDescent="0.25">
      <c r="A357" s="164" t="s">
        <v>518</v>
      </c>
      <c r="B357" s="164" t="s">
        <v>626</v>
      </c>
      <c r="C357" s="174" t="s">
        <v>280</v>
      </c>
      <c r="D357" s="176">
        <v>9196844371</v>
      </c>
      <c r="E357" s="172">
        <v>279097202</v>
      </c>
      <c r="F357" s="164" t="s">
        <v>256</v>
      </c>
      <c r="G357" s="171">
        <v>33975</v>
      </c>
      <c r="H357" s="54">
        <f ca="1">DATEDIF(G357,TODAY(),"Y")</f>
        <v>23</v>
      </c>
      <c r="I357" s="170" t="str">
        <f>CHOOSE(MONTH(G357),"January","February","March","April","May","June","July","August","September","October","November","December")</f>
        <v>January</v>
      </c>
      <c r="J357" s="55" t="s">
        <v>257</v>
      </c>
      <c r="K357" s="56">
        <v>75288</v>
      </c>
      <c r="L357" s="169">
        <v>4</v>
      </c>
    </row>
    <row r="358" spans="1:12" x14ac:dyDescent="0.25">
      <c r="A358" s="164" t="s">
        <v>798</v>
      </c>
      <c r="B358" s="164" t="s">
        <v>626</v>
      </c>
      <c r="C358" s="174" t="s">
        <v>271</v>
      </c>
      <c r="D358" s="173">
        <v>2521401774</v>
      </c>
      <c r="E358" s="172">
        <v>999156829</v>
      </c>
      <c r="F358" s="164" t="s">
        <v>256</v>
      </c>
      <c r="G358" s="171">
        <v>41175</v>
      </c>
      <c r="H358" s="54">
        <f ca="1">DATEDIF(G358,TODAY(),"Y")</f>
        <v>4</v>
      </c>
      <c r="I358" s="170" t="str">
        <f>CHOOSE(MONTH(G358),"January","February","March","April","May","June","July","August","September","October","November","December")</f>
        <v>September</v>
      </c>
      <c r="J358" s="55" t="s">
        <v>257</v>
      </c>
      <c r="K358" s="56">
        <v>40764</v>
      </c>
      <c r="L358" s="169">
        <v>4</v>
      </c>
    </row>
    <row r="359" spans="1:12" x14ac:dyDescent="0.25">
      <c r="A359" s="164" t="s">
        <v>801</v>
      </c>
      <c r="B359" s="164" t="s">
        <v>626</v>
      </c>
      <c r="C359" s="174" t="s">
        <v>251</v>
      </c>
      <c r="D359" s="173">
        <v>2526040465</v>
      </c>
      <c r="E359" s="172">
        <v>662974752</v>
      </c>
      <c r="F359" s="164" t="s">
        <v>256</v>
      </c>
      <c r="G359" s="171">
        <v>37120</v>
      </c>
      <c r="H359" s="54">
        <f ca="1">DATEDIF(G359,TODAY(),"Y")</f>
        <v>15</v>
      </c>
      <c r="I359" s="170" t="str">
        <f>CHOOSE(MONTH(G359),"January","February","March","April","May","June","July","August","September","October","November","December")</f>
        <v>August</v>
      </c>
      <c r="J359" s="55" t="s">
        <v>283</v>
      </c>
      <c r="K359" s="56">
        <v>61692</v>
      </c>
      <c r="L359" s="169">
        <v>4</v>
      </c>
    </row>
    <row r="360" spans="1:12" x14ac:dyDescent="0.25">
      <c r="A360" s="164" t="s">
        <v>383</v>
      </c>
      <c r="B360" s="164" t="s">
        <v>626</v>
      </c>
      <c r="C360" s="174" t="s">
        <v>280</v>
      </c>
      <c r="D360" s="173">
        <v>2527660273</v>
      </c>
      <c r="E360" s="172">
        <v>357081517</v>
      </c>
      <c r="F360" s="164" t="s">
        <v>261</v>
      </c>
      <c r="G360" s="171">
        <v>37099</v>
      </c>
      <c r="H360" s="54">
        <f ca="1">DATEDIF(G360,TODAY(),"Y")</f>
        <v>15</v>
      </c>
      <c r="I360" s="170" t="str">
        <f>CHOOSE(MONTH(G360),"January","February","March","April","May","June","July","August","September","October","November","December")</f>
        <v>July</v>
      </c>
      <c r="J360" s="55" t="s">
        <v>283</v>
      </c>
      <c r="K360" s="56">
        <v>32148</v>
      </c>
      <c r="L360" s="169">
        <v>2</v>
      </c>
    </row>
    <row r="361" spans="1:12" x14ac:dyDescent="0.25">
      <c r="A361" s="164" t="s">
        <v>327</v>
      </c>
      <c r="B361" s="164" t="s">
        <v>626</v>
      </c>
      <c r="C361" s="174" t="s">
        <v>266</v>
      </c>
      <c r="D361" s="173">
        <v>2525478716</v>
      </c>
      <c r="E361" s="172">
        <v>355985853</v>
      </c>
      <c r="F361" s="164" t="s">
        <v>256</v>
      </c>
      <c r="G361" s="171">
        <v>37025</v>
      </c>
      <c r="H361" s="54">
        <f ca="1">DATEDIF(G361,TODAY(),"Y")</f>
        <v>15</v>
      </c>
      <c r="I361" s="170" t="str">
        <f>CHOOSE(MONTH(G361),"January","February","March","April","May","June","July","August","September","October","November","December")</f>
        <v>May</v>
      </c>
      <c r="J361" s="55" t="s">
        <v>257</v>
      </c>
      <c r="K361" s="56">
        <v>55236</v>
      </c>
      <c r="L361" s="169">
        <v>2</v>
      </c>
    </row>
    <row r="362" spans="1:12" x14ac:dyDescent="0.25">
      <c r="A362" s="164" t="s">
        <v>524</v>
      </c>
      <c r="B362" s="164" t="s">
        <v>626</v>
      </c>
      <c r="C362" s="174" t="s">
        <v>271</v>
      </c>
      <c r="D362" s="173">
        <v>9196201509</v>
      </c>
      <c r="E362" s="172">
        <v>597641409</v>
      </c>
      <c r="F362" s="164" t="s">
        <v>256</v>
      </c>
      <c r="G362" s="171">
        <v>36585</v>
      </c>
      <c r="H362" s="54">
        <f ca="1">DATEDIF(G362,TODAY(),"Y")</f>
        <v>16</v>
      </c>
      <c r="I362" s="170" t="str">
        <f>CHOOSE(MONTH(G362),"January","February","March","April","May","June","July","August","September","October","November","December")</f>
        <v>February</v>
      </c>
      <c r="J362" s="55" t="s">
        <v>283</v>
      </c>
      <c r="K362" s="56">
        <v>98532</v>
      </c>
      <c r="L362" s="169">
        <v>3</v>
      </c>
    </row>
    <row r="363" spans="1:12" x14ac:dyDescent="0.25">
      <c r="A363" s="164" t="s">
        <v>807</v>
      </c>
      <c r="B363" s="164" t="s">
        <v>626</v>
      </c>
      <c r="C363" s="174" t="s">
        <v>285</v>
      </c>
      <c r="D363" s="173">
        <v>2525368383</v>
      </c>
      <c r="E363" s="172">
        <v>479081328</v>
      </c>
      <c r="F363" s="164" t="s">
        <v>247</v>
      </c>
      <c r="G363" s="171">
        <v>36410</v>
      </c>
      <c r="H363" s="54">
        <f ca="1">DATEDIF(G363,TODAY(),"Y")</f>
        <v>17</v>
      </c>
      <c r="I363" s="170" t="str">
        <f>CHOOSE(MONTH(G363),"January","February","March","April","May","June","July","August","September","October","November","December")</f>
        <v>September</v>
      </c>
      <c r="J363" s="55"/>
      <c r="K363" s="56">
        <v>76620</v>
      </c>
      <c r="L363" s="169">
        <v>2</v>
      </c>
    </row>
    <row r="364" spans="1:12" x14ac:dyDescent="0.25">
      <c r="A364" s="164" t="s">
        <v>723</v>
      </c>
      <c r="B364" s="164" t="s">
        <v>626</v>
      </c>
      <c r="C364" s="174" t="s">
        <v>245</v>
      </c>
      <c r="D364" s="173">
        <v>9191487375</v>
      </c>
      <c r="E364" s="172">
        <v>422929693</v>
      </c>
      <c r="F364" s="164" t="s">
        <v>256</v>
      </c>
      <c r="G364" s="171">
        <v>37390</v>
      </c>
      <c r="H364" s="54">
        <f ca="1">DATEDIF(G364,TODAY(),"Y")</f>
        <v>14</v>
      </c>
      <c r="I364" s="170" t="str">
        <f>CHOOSE(MONTH(G364),"January","February","March","April","May","June","July","August","September","October","November","December")</f>
        <v>May</v>
      </c>
      <c r="J364" s="55" t="s">
        <v>283</v>
      </c>
      <c r="K364" s="56">
        <v>62988</v>
      </c>
      <c r="L364" s="169">
        <v>4</v>
      </c>
    </row>
    <row r="365" spans="1:12" x14ac:dyDescent="0.25">
      <c r="A365" s="164" t="s">
        <v>891</v>
      </c>
      <c r="B365" s="164" t="s">
        <v>626</v>
      </c>
      <c r="C365" s="174" t="s">
        <v>245</v>
      </c>
      <c r="D365" s="173">
        <v>9194402150</v>
      </c>
      <c r="E365" s="172">
        <v>917714039</v>
      </c>
      <c r="F365" s="164" t="s">
        <v>256</v>
      </c>
      <c r="G365" s="171">
        <v>35948</v>
      </c>
      <c r="H365" s="54">
        <f ca="1">DATEDIF(G365,TODAY(),"Y")</f>
        <v>18</v>
      </c>
      <c r="I365" s="170" t="str">
        <f>CHOOSE(MONTH(G365),"January","February","March","April","May","June","July","August","September","October","November","December")</f>
        <v>June</v>
      </c>
      <c r="J365" s="55" t="s">
        <v>267</v>
      </c>
      <c r="K365" s="56">
        <v>84576</v>
      </c>
      <c r="L365" s="169">
        <v>4</v>
      </c>
    </row>
    <row r="366" spans="1:12" x14ac:dyDescent="0.25">
      <c r="A366" s="164" t="s">
        <v>333</v>
      </c>
      <c r="B366" s="164" t="s">
        <v>626</v>
      </c>
      <c r="C366" s="174" t="s">
        <v>271</v>
      </c>
      <c r="D366" s="173">
        <v>9194161772</v>
      </c>
      <c r="E366" s="172">
        <v>168791562</v>
      </c>
      <c r="F366" s="164" t="s">
        <v>256</v>
      </c>
      <c r="G366" s="171">
        <v>41089</v>
      </c>
      <c r="H366" s="54">
        <f ca="1">DATEDIF(G366,TODAY(),"Y")</f>
        <v>4</v>
      </c>
      <c r="I366" s="170" t="str">
        <f>CHOOSE(MONTH(G366),"January","February","March","April","May","June","July","August","September","October","November","December")</f>
        <v>June</v>
      </c>
      <c r="J366" s="55" t="s">
        <v>267</v>
      </c>
      <c r="K366" s="56">
        <v>90936</v>
      </c>
      <c r="L366" s="169">
        <v>2</v>
      </c>
    </row>
    <row r="367" spans="1:12" x14ac:dyDescent="0.25">
      <c r="A367" s="164" t="s">
        <v>649</v>
      </c>
      <c r="B367" s="164" t="s">
        <v>626</v>
      </c>
      <c r="C367" s="174" t="s">
        <v>271</v>
      </c>
      <c r="D367" s="173">
        <v>2527469217</v>
      </c>
      <c r="E367" s="172">
        <v>796685092</v>
      </c>
      <c r="F367" s="164" t="s">
        <v>256</v>
      </c>
      <c r="G367" s="171">
        <v>37184</v>
      </c>
      <c r="H367" s="54">
        <f ca="1">DATEDIF(G367,TODAY(),"Y")</f>
        <v>15</v>
      </c>
      <c r="I367" s="170" t="str">
        <f>CHOOSE(MONTH(G367),"January","February","March","April","May","June","July","August","September","October","November","December")</f>
        <v>October</v>
      </c>
      <c r="J367" s="55" t="s">
        <v>283</v>
      </c>
      <c r="K367" s="56">
        <v>52152</v>
      </c>
      <c r="L367" s="169">
        <v>5</v>
      </c>
    </row>
    <row r="368" spans="1:12" x14ac:dyDescent="0.25">
      <c r="A368" s="164" t="s">
        <v>431</v>
      </c>
      <c r="B368" s="164" t="s">
        <v>626</v>
      </c>
      <c r="C368" s="174" t="s">
        <v>285</v>
      </c>
      <c r="D368" s="173">
        <v>9195085809</v>
      </c>
      <c r="E368" s="172">
        <v>443476169</v>
      </c>
      <c r="F368" s="164" t="s">
        <v>256</v>
      </c>
      <c r="G368" s="171">
        <v>34795</v>
      </c>
      <c r="H368" s="54">
        <f ca="1">DATEDIF(G368,TODAY(),"Y")</f>
        <v>21</v>
      </c>
      <c r="I368" s="170" t="str">
        <f>CHOOSE(MONTH(G368),"January","February","March","April","May","June","July","August","September","October","November","December")</f>
        <v>April</v>
      </c>
      <c r="J368" s="55" t="s">
        <v>267</v>
      </c>
      <c r="K368" s="56">
        <v>103848</v>
      </c>
      <c r="L368" s="169">
        <v>4</v>
      </c>
    </row>
    <row r="369" spans="1:12" x14ac:dyDescent="0.25">
      <c r="A369" s="164" t="s">
        <v>686</v>
      </c>
      <c r="B369" s="164" t="s">
        <v>626</v>
      </c>
      <c r="C369" s="174" t="s">
        <v>285</v>
      </c>
      <c r="D369" s="173">
        <v>9197803578</v>
      </c>
      <c r="E369" s="172">
        <v>254201611</v>
      </c>
      <c r="F369" s="164" t="s">
        <v>256</v>
      </c>
      <c r="G369" s="171">
        <v>34762</v>
      </c>
      <c r="H369" s="54">
        <f ca="1">DATEDIF(G369,TODAY(),"Y")</f>
        <v>21</v>
      </c>
      <c r="I369" s="170" t="str">
        <f>CHOOSE(MONTH(G369),"January","February","March","April","May","June","July","August","September","October","November","December")</f>
        <v>March</v>
      </c>
      <c r="J369" s="55" t="s">
        <v>267</v>
      </c>
      <c r="K369" s="56">
        <v>54216</v>
      </c>
      <c r="L369" s="169">
        <v>5</v>
      </c>
    </row>
    <row r="370" spans="1:12" x14ac:dyDescent="0.25">
      <c r="A370" s="164" t="s">
        <v>336</v>
      </c>
      <c r="B370" s="164" t="s">
        <v>626</v>
      </c>
      <c r="C370" s="174" t="s">
        <v>271</v>
      </c>
      <c r="D370" s="173">
        <v>2525268508</v>
      </c>
      <c r="E370" s="172">
        <v>393290045</v>
      </c>
      <c r="F370" s="164" t="s">
        <v>261</v>
      </c>
      <c r="G370" s="171">
        <v>37894</v>
      </c>
      <c r="H370" s="54">
        <f ca="1">DATEDIF(G370,TODAY(),"Y")</f>
        <v>13</v>
      </c>
      <c r="I370" s="170" t="str">
        <f>CHOOSE(MONTH(G370),"January","February","March","April","May","June","July","August","September","October","November","December")</f>
        <v>September</v>
      </c>
      <c r="J370" s="55" t="s">
        <v>262</v>
      </c>
      <c r="K370" s="56">
        <v>56754</v>
      </c>
      <c r="L370" s="169">
        <v>4</v>
      </c>
    </row>
    <row r="371" spans="1:12" x14ac:dyDescent="0.25">
      <c r="A371" s="164" t="s">
        <v>656</v>
      </c>
      <c r="B371" s="164" t="s">
        <v>626</v>
      </c>
      <c r="C371" s="174" t="s">
        <v>285</v>
      </c>
      <c r="D371" s="173">
        <v>9193262077</v>
      </c>
      <c r="E371" s="172">
        <v>157257652</v>
      </c>
      <c r="F371" s="164" t="s">
        <v>247</v>
      </c>
      <c r="G371" s="171">
        <v>37431</v>
      </c>
      <c r="H371" s="54">
        <f ca="1">DATEDIF(G371,TODAY(),"Y")</f>
        <v>14</v>
      </c>
      <c r="I371" s="170" t="str">
        <f>CHOOSE(MONTH(G371),"January","February","March","April","May","June","July","August","September","October","November","December")</f>
        <v>June</v>
      </c>
      <c r="J371" s="55"/>
      <c r="K371" s="56">
        <v>60240</v>
      </c>
      <c r="L371" s="169">
        <v>4</v>
      </c>
    </row>
    <row r="372" spans="1:12" x14ac:dyDescent="0.25">
      <c r="A372" s="164" t="s">
        <v>727</v>
      </c>
      <c r="B372" s="164" t="s">
        <v>626</v>
      </c>
      <c r="C372" s="174" t="s">
        <v>271</v>
      </c>
      <c r="D372" s="173">
        <v>2521588597</v>
      </c>
      <c r="E372" s="172">
        <v>649234799</v>
      </c>
      <c r="F372" s="164" t="s">
        <v>256</v>
      </c>
      <c r="G372" s="171">
        <v>40937</v>
      </c>
      <c r="H372" s="54">
        <f ca="1">DATEDIF(G372,TODAY(),"Y")</f>
        <v>4</v>
      </c>
      <c r="I372" s="170" t="str">
        <f>CHOOSE(MONTH(G372),"January","February","March","April","May","June","July","August","September","October","November","December")</f>
        <v>January</v>
      </c>
      <c r="J372" s="55" t="s">
        <v>283</v>
      </c>
      <c r="K372" s="56">
        <v>54312</v>
      </c>
      <c r="L372" s="169">
        <v>4</v>
      </c>
    </row>
    <row r="373" spans="1:12" x14ac:dyDescent="0.25">
      <c r="A373" s="164" t="s">
        <v>823</v>
      </c>
      <c r="B373" s="164" t="s">
        <v>626</v>
      </c>
      <c r="C373" s="174" t="s">
        <v>251</v>
      </c>
      <c r="D373" s="173">
        <v>9194900864</v>
      </c>
      <c r="E373" s="172">
        <v>634954970</v>
      </c>
      <c r="F373" s="164" t="s">
        <v>256</v>
      </c>
      <c r="G373" s="171">
        <v>36010</v>
      </c>
      <c r="H373" s="54">
        <f ca="1">DATEDIF(G373,TODAY(),"Y")</f>
        <v>18</v>
      </c>
      <c r="I373" s="170" t="str">
        <f>CHOOSE(MONTH(G373),"January","February","March","April","May","June","July","August","September","October","November","December")</f>
        <v>August</v>
      </c>
      <c r="J373" s="55" t="s">
        <v>257</v>
      </c>
      <c r="K373" s="56">
        <v>69072</v>
      </c>
      <c r="L373" s="169">
        <v>4</v>
      </c>
    </row>
    <row r="374" spans="1:12" x14ac:dyDescent="0.25">
      <c r="A374" s="164" t="s">
        <v>338</v>
      </c>
      <c r="B374" s="164" t="s">
        <v>626</v>
      </c>
      <c r="C374" s="174" t="s">
        <v>285</v>
      </c>
      <c r="D374" s="173">
        <v>9194713628</v>
      </c>
      <c r="E374" s="172">
        <v>751878224</v>
      </c>
      <c r="F374" s="164" t="s">
        <v>256</v>
      </c>
      <c r="G374" s="171">
        <v>34334</v>
      </c>
      <c r="H374" s="54">
        <f ca="1">DATEDIF(G374,TODAY(),"Y")</f>
        <v>22</v>
      </c>
      <c r="I374" s="170" t="str">
        <f>CHOOSE(MONTH(G374),"January","February","March","April","May","June","July","August","September","October","November","December")</f>
        <v>December</v>
      </c>
      <c r="J374" s="55" t="s">
        <v>262</v>
      </c>
      <c r="K374" s="56">
        <v>104544</v>
      </c>
      <c r="L374" s="169">
        <v>3</v>
      </c>
    </row>
    <row r="375" spans="1:12" x14ac:dyDescent="0.25">
      <c r="A375" s="164" t="s">
        <v>987</v>
      </c>
      <c r="B375" s="164" t="s">
        <v>626</v>
      </c>
      <c r="C375" s="174" t="s">
        <v>245</v>
      </c>
      <c r="D375" s="173">
        <v>9195252544</v>
      </c>
      <c r="E375" s="172">
        <v>259330447</v>
      </c>
      <c r="F375" s="164" t="s">
        <v>247</v>
      </c>
      <c r="G375" s="171">
        <v>36920</v>
      </c>
      <c r="H375" s="54">
        <f ca="1">DATEDIF(G375,TODAY(),"Y")</f>
        <v>15</v>
      </c>
      <c r="I375" s="170" t="str">
        <f>CHOOSE(MONTH(G375),"January","February","March","April","May","June","July","August","September","October","November","December")</f>
        <v>January</v>
      </c>
      <c r="J375" s="55"/>
      <c r="K375" s="56">
        <v>57144</v>
      </c>
      <c r="L375" s="169">
        <v>5</v>
      </c>
    </row>
    <row r="376" spans="1:12" x14ac:dyDescent="0.25">
      <c r="A376" s="164" t="s">
        <v>658</v>
      </c>
      <c r="B376" s="164" t="s">
        <v>626</v>
      </c>
      <c r="C376" s="174" t="s">
        <v>285</v>
      </c>
      <c r="D376" s="173">
        <v>2527451745</v>
      </c>
      <c r="E376" s="172">
        <v>385074661</v>
      </c>
      <c r="F376" s="164" t="s">
        <v>256</v>
      </c>
      <c r="G376" s="171">
        <v>35603</v>
      </c>
      <c r="H376" s="54">
        <f ca="1">DATEDIF(G376,TODAY(),"Y")</f>
        <v>19</v>
      </c>
      <c r="I376" s="170" t="str">
        <f>CHOOSE(MONTH(G376),"January","February","March","April","May","June","July","August","September","October","November","December")</f>
        <v>June</v>
      </c>
      <c r="J376" s="55" t="s">
        <v>276</v>
      </c>
      <c r="K376" s="56">
        <v>80304</v>
      </c>
      <c r="L376" s="169">
        <v>2</v>
      </c>
    </row>
    <row r="377" spans="1:12" x14ac:dyDescent="0.25">
      <c r="A377" s="164" t="s">
        <v>555</v>
      </c>
      <c r="B377" s="164" t="s">
        <v>626</v>
      </c>
      <c r="C377" s="174" t="s">
        <v>280</v>
      </c>
      <c r="D377" s="173">
        <v>9196530760</v>
      </c>
      <c r="E377" s="172">
        <v>168147877</v>
      </c>
      <c r="F377" s="164" t="s">
        <v>261</v>
      </c>
      <c r="G377" s="171">
        <v>37869</v>
      </c>
      <c r="H377" s="54">
        <f ca="1">DATEDIF(G377,TODAY(),"Y")</f>
        <v>13</v>
      </c>
      <c r="I377" s="170" t="str">
        <f>CHOOSE(MONTH(G377),"January","February","March","April","May","June","July","August","September","October","November","December")</f>
        <v>September</v>
      </c>
      <c r="J377" s="55" t="s">
        <v>276</v>
      </c>
      <c r="K377" s="56">
        <v>19092</v>
      </c>
      <c r="L377" s="169">
        <v>3</v>
      </c>
    </row>
    <row r="378" spans="1:12" x14ac:dyDescent="0.25">
      <c r="A378" s="164" t="s">
        <v>903</v>
      </c>
      <c r="B378" s="164" t="s">
        <v>626</v>
      </c>
      <c r="C378" s="174" t="s">
        <v>245</v>
      </c>
      <c r="D378" s="173">
        <v>9195978858</v>
      </c>
      <c r="E378" s="172">
        <v>499124019</v>
      </c>
      <c r="F378" s="164" t="s">
        <v>261</v>
      </c>
      <c r="G378" s="171">
        <v>36849</v>
      </c>
      <c r="H378" s="54">
        <f ca="1">DATEDIF(G378,TODAY(),"Y")</f>
        <v>15</v>
      </c>
      <c r="I378" s="170" t="str">
        <f>CHOOSE(MONTH(G378),"January","February","March","April","May","June","July","August","September","October","November","December")</f>
        <v>November</v>
      </c>
      <c r="J378" s="55" t="s">
        <v>283</v>
      </c>
      <c r="K378" s="56">
        <v>34656</v>
      </c>
      <c r="L378" s="169">
        <v>3</v>
      </c>
    </row>
    <row r="379" spans="1:12" x14ac:dyDescent="0.25">
      <c r="A379" s="164" t="s">
        <v>826</v>
      </c>
      <c r="B379" s="164" t="s">
        <v>626</v>
      </c>
      <c r="C379" s="174" t="s">
        <v>285</v>
      </c>
      <c r="D379" s="173">
        <v>2527722509</v>
      </c>
      <c r="E379" s="172">
        <v>364404060</v>
      </c>
      <c r="F379" s="164" t="s">
        <v>261</v>
      </c>
      <c r="G379" s="171">
        <v>39090</v>
      </c>
      <c r="H379" s="54">
        <f ca="1">DATEDIF(G379,TODAY(),"Y")</f>
        <v>9</v>
      </c>
      <c r="I379" s="170" t="str">
        <f>CHOOSE(MONTH(G379),"January","February","March","April","May","June","July","August","September","October","November","December")</f>
        <v>January</v>
      </c>
      <c r="J379" s="55" t="s">
        <v>257</v>
      </c>
      <c r="K379" s="56">
        <v>37506</v>
      </c>
      <c r="L379" s="169">
        <v>5</v>
      </c>
    </row>
    <row r="380" spans="1:12" x14ac:dyDescent="0.25">
      <c r="A380" s="164" t="s">
        <v>345</v>
      </c>
      <c r="B380" s="164" t="s">
        <v>626</v>
      </c>
      <c r="C380" s="174" t="s">
        <v>245</v>
      </c>
      <c r="D380" s="173">
        <v>9194331646</v>
      </c>
      <c r="E380" s="172">
        <v>738946277</v>
      </c>
      <c r="F380" s="164" t="s">
        <v>256</v>
      </c>
      <c r="G380" s="171">
        <v>33951</v>
      </c>
      <c r="H380" s="54">
        <f ca="1">DATEDIF(G380,TODAY(),"Y")</f>
        <v>23</v>
      </c>
      <c r="I380" s="170" t="str">
        <f>CHOOSE(MONTH(G380),"January","February","March","April","May","June","July","August","September","October","November","December")</f>
        <v>December</v>
      </c>
      <c r="J380" s="55" t="s">
        <v>262</v>
      </c>
      <c r="K380" s="56">
        <v>37512</v>
      </c>
      <c r="L380" s="169">
        <v>5</v>
      </c>
    </row>
    <row r="381" spans="1:12" x14ac:dyDescent="0.25">
      <c r="A381" s="164" t="s">
        <v>347</v>
      </c>
      <c r="B381" s="164" t="s">
        <v>626</v>
      </c>
      <c r="C381" s="174" t="s">
        <v>280</v>
      </c>
      <c r="D381" s="173">
        <v>9192490678</v>
      </c>
      <c r="E381" s="172">
        <v>991764142</v>
      </c>
      <c r="F381" s="164" t="s">
        <v>247</v>
      </c>
      <c r="G381" s="171">
        <v>35675</v>
      </c>
      <c r="H381" s="54">
        <f ca="1">DATEDIF(G381,TODAY(),"Y")</f>
        <v>19</v>
      </c>
      <c r="I381" s="170" t="str">
        <f>CHOOSE(MONTH(G381),"January","February","March","April","May","June","July","August","September","October","November","December")</f>
        <v>September</v>
      </c>
      <c r="J381" s="55"/>
      <c r="K381" s="56">
        <v>98316</v>
      </c>
      <c r="L381" s="169">
        <v>5</v>
      </c>
    </row>
    <row r="382" spans="1:12" x14ac:dyDescent="0.25">
      <c r="A382" s="164" t="s">
        <v>565</v>
      </c>
      <c r="B382" s="164" t="s">
        <v>626</v>
      </c>
      <c r="C382" s="174" t="s">
        <v>285</v>
      </c>
      <c r="D382" s="173">
        <v>2522256131</v>
      </c>
      <c r="E382" s="172">
        <v>643272576</v>
      </c>
      <c r="F382" s="164" t="s">
        <v>252</v>
      </c>
      <c r="G382" s="171">
        <v>34033</v>
      </c>
      <c r="H382" s="54">
        <f ca="1">DATEDIF(G382,TODAY(),"Y")</f>
        <v>23</v>
      </c>
      <c r="I382" s="170" t="str">
        <f>CHOOSE(MONTH(G382),"January","February","March","April","May","June","July","August","September","October","November","December")</f>
        <v>March</v>
      </c>
      <c r="J382" s="55"/>
      <c r="K382" s="56">
        <v>44213</v>
      </c>
      <c r="L382" s="169">
        <v>4</v>
      </c>
    </row>
    <row r="383" spans="1:12" x14ac:dyDescent="0.25">
      <c r="A383" s="164" t="s">
        <v>761</v>
      </c>
      <c r="B383" s="164" t="s">
        <v>626</v>
      </c>
      <c r="C383" s="174" t="s">
        <v>245</v>
      </c>
      <c r="D383" s="173">
        <v>2526674988</v>
      </c>
      <c r="E383" s="172">
        <v>343897392</v>
      </c>
      <c r="F383" s="164" t="s">
        <v>256</v>
      </c>
      <c r="G383" s="171">
        <v>35982</v>
      </c>
      <c r="H383" s="54">
        <f ca="1">DATEDIF(G383,TODAY(),"Y")</f>
        <v>18</v>
      </c>
      <c r="I383" s="170" t="str">
        <f>CHOOSE(MONTH(G383),"January","February","March","April","May","June","July","August","September","October","November","December")</f>
        <v>July</v>
      </c>
      <c r="J383" s="55" t="s">
        <v>257</v>
      </c>
      <c r="K383" s="56">
        <v>58560</v>
      </c>
      <c r="L383" s="169">
        <v>4</v>
      </c>
    </row>
    <row r="384" spans="1:12" x14ac:dyDescent="0.25">
      <c r="A384" s="164" t="s">
        <v>407</v>
      </c>
      <c r="B384" s="164" t="s">
        <v>626</v>
      </c>
      <c r="C384" s="174" t="s">
        <v>285</v>
      </c>
      <c r="D384" s="173">
        <v>9191462245</v>
      </c>
      <c r="E384" s="172">
        <v>983891302</v>
      </c>
      <c r="F384" s="164" t="s">
        <v>256</v>
      </c>
      <c r="G384" s="171">
        <v>36275</v>
      </c>
      <c r="H384" s="54">
        <f ca="1">DATEDIF(G384,TODAY(),"Y")</f>
        <v>17</v>
      </c>
      <c r="I384" s="170" t="str">
        <f>CHOOSE(MONTH(G384),"January","February","March","April","May","June","July","August","September","October","November","December")</f>
        <v>April</v>
      </c>
      <c r="J384" s="55" t="s">
        <v>257</v>
      </c>
      <c r="K384" s="56">
        <v>97968</v>
      </c>
      <c r="L384" s="169">
        <v>4</v>
      </c>
    </row>
    <row r="385" spans="1:12" x14ac:dyDescent="0.25">
      <c r="A385" s="164" t="s">
        <v>915</v>
      </c>
      <c r="B385" s="164" t="s">
        <v>626</v>
      </c>
      <c r="C385" s="174" t="s">
        <v>251</v>
      </c>
      <c r="D385" s="173">
        <v>9195594427</v>
      </c>
      <c r="E385" s="172">
        <v>345817459</v>
      </c>
      <c r="F385" s="164" t="s">
        <v>247</v>
      </c>
      <c r="G385" s="171">
        <v>36927</v>
      </c>
      <c r="H385" s="54">
        <f ca="1">DATEDIF(G385,TODAY(),"Y")</f>
        <v>15</v>
      </c>
      <c r="I385" s="170" t="str">
        <f>CHOOSE(MONTH(G385),"January","February","March","April","May","June","July","August","September","October","November","December")</f>
        <v>February</v>
      </c>
      <c r="J385" s="55"/>
      <c r="K385" s="56">
        <v>37524</v>
      </c>
      <c r="L385" s="169">
        <v>5</v>
      </c>
    </row>
    <row r="386" spans="1:12" x14ac:dyDescent="0.25">
      <c r="A386" s="164" t="s">
        <v>1009</v>
      </c>
      <c r="B386" s="164" t="s">
        <v>626</v>
      </c>
      <c r="C386" s="174" t="s">
        <v>285</v>
      </c>
      <c r="D386" s="173">
        <v>2524273090</v>
      </c>
      <c r="E386" s="172">
        <v>422957475</v>
      </c>
      <c r="F386" s="164" t="s">
        <v>256</v>
      </c>
      <c r="G386" s="171">
        <v>34905</v>
      </c>
      <c r="H386" s="54">
        <f ca="1">DATEDIF(G386,TODAY(),"Y")</f>
        <v>21</v>
      </c>
      <c r="I386" s="170" t="str">
        <f>CHOOSE(MONTH(G386),"January","February","March","April","May","June","July","August","September","October","November","December")</f>
        <v>July</v>
      </c>
      <c r="J386" s="55" t="s">
        <v>283</v>
      </c>
      <c r="K386" s="56">
        <v>78300</v>
      </c>
      <c r="L386" s="169">
        <v>2</v>
      </c>
    </row>
    <row r="387" spans="1:12" x14ac:dyDescent="0.25">
      <c r="A387" s="164" t="s">
        <v>594</v>
      </c>
      <c r="B387" s="164" t="s">
        <v>626</v>
      </c>
      <c r="C387" s="174" t="s">
        <v>245</v>
      </c>
      <c r="D387" s="173">
        <v>2527726916</v>
      </c>
      <c r="E387" s="172">
        <v>132016163</v>
      </c>
      <c r="F387" s="164" t="s">
        <v>261</v>
      </c>
      <c r="G387" s="171">
        <v>40599</v>
      </c>
      <c r="H387" s="54">
        <f ca="1">DATEDIF(G387,TODAY(),"Y")</f>
        <v>5</v>
      </c>
      <c r="I387" s="170" t="str">
        <f>CHOOSE(MONTH(G387),"January","February","March","April","May","June","July","August","September","October","November","December")</f>
        <v>February</v>
      </c>
      <c r="J387" s="55" t="s">
        <v>267</v>
      </c>
      <c r="K387" s="56">
        <v>46290</v>
      </c>
      <c r="L387" s="169">
        <v>2</v>
      </c>
    </row>
    <row r="388" spans="1:12" x14ac:dyDescent="0.25">
      <c r="A388" s="164" t="s">
        <v>672</v>
      </c>
      <c r="B388" s="164" t="s">
        <v>626</v>
      </c>
      <c r="C388" s="174" t="s">
        <v>266</v>
      </c>
      <c r="D388" s="173">
        <v>9194679864</v>
      </c>
      <c r="E388" s="172">
        <v>650784238</v>
      </c>
      <c r="F388" s="164" t="s">
        <v>247</v>
      </c>
      <c r="G388" s="171">
        <v>36246</v>
      </c>
      <c r="H388" s="54">
        <f ca="1">DATEDIF(G388,TODAY(),"Y")</f>
        <v>17</v>
      </c>
      <c r="I388" s="170" t="str">
        <f>CHOOSE(MONTH(G388),"January","February","March","April","May","June","July","August","September","October","November","December")</f>
        <v>March</v>
      </c>
      <c r="J388" s="55"/>
      <c r="K388" s="56">
        <v>64644</v>
      </c>
      <c r="L388" s="169">
        <v>2</v>
      </c>
    </row>
    <row r="389" spans="1:12" x14ac:dyDescent="0.25">
      <c r="A389" s="164" t="s">
        <v>842</v>
      </c>
      <c r="B389" s="164" t="s">
        <v>626</v>
      </c>
      <c r="C389" s="174" t="s">
        <v>285</v>
      </c>
      <c r="D389" s="173">
        <v>2521683770</v>
      </c>
      <c r="E389" s="172">
        <v>567266382</v>
      </c>
      <c r="F389" s="164" t="s">
        <v>256</v>
      </c>
      <c r="G389" s="171">
        <v>36844</v>
      </c>
      <c r="H389" s="54">
        <f ca="1">DATEDIF(G389,TODAY(),"Y")</f>
        <v>15</v>
      </c>
      <c r="I389" s="170" t="str">
        <f>CHOOSE(MONTH(G389),"January","February","March","April","May","June","July","August","September","October","November","December")</f>
        <v>November</v>
      </c>
      <c r="J389" s="55" t="s">
        <v>276</v>
      </c>
      <c r="K389" s="56">
        <v>59724</v>
      </c>
      <c r="L389" s="169">
        <v>1</v>
      </c>
    </row>
    <row r="390" spans="1:12" x14ac:dyDescent="0.25">
      <c r="A390" s="164" t="s">
        <v>926</v>
      </c>
      <c r="B390" s="164" t="s">
        <v>626</v>
      </c>
      <c r="C390" s="174" t="s">
        <v>285</v>
      </c>
      <c r="D390" s="173">
        <v>2521620909</v>
      </c>
      <c r="E390" s="172">
        <v>275102740</v>
      </c>
      <c r="F390" s="164" t="s">
        <v>256</v>
      </c>
      <c r="G390" s="171">
        <v>34423</v>
      </c>
      <c r="H390" s="54">
        <f ca="1">DATEDIF(G390,TODAY(),"Y")</f>
        <v>22</v>
      </c>
      <c r="I390" s="170" t="str">
        <f>CHOOSE(MONTH(G390),"January","February","March","April","May","June","July","August","September","October","November","December")</f>
        <v>March</v>
      </c>
      <c r="J390" s="55" t="s">
        <v>262</v>
      </c>
      <c r="K390" s="56">
        <v>72672</v>
      </c>
      <c r="L390" s="169">
        <v>4</v>
      </c>
    </row>
    <row r="391" spans="1:12" x14ac:dyDescent="0.25">
      <c r="A391" s="164" t="s">
        <v>675</v>
      </c>
      <c r="B391" s="164" t="s">
        <v>626</v>
      </c>
      <c r="C391" s="174" t="s">
        <v>245</v>
      </c>
      <c r="D391" s="173">
        <v>9194378387</v>
      </c>
      <c r="E391" s="172">
        <v>662247915</v>
      </c>
      <c r="F391" s="164" t="s">
        <v>256</v>
      </c>
      <c r="G391" s="171">
        <v>37668</v>
      </c>
      <c r="H391" s="54">
        <f ca="1">DATEDIF(G391,TODAY(),"Y")</f>
        <v>13</v>
      </c>
      <c r="I391" s="170" t="str">
        <f>CHOOSE(MONTH(G391),"January","February","March","April","May","June","July","August","September","October","November","December")</f>
        <v>February</v>
      </c>
      <c r="J391" s="55" t="s">
        <v>257</v>
      </c>
      <c r="K391" s="56">
        <v>58788</v>
      </c>
      <c r="L391" s="169">
        <v>5</v>
      </c>
    </row>
    <row r="392" spans="1:12" x14ac:dyDescent="0.25">
      <c r="A392" s="164" t="s">
        <v>764</v>
      </c>
      <c r="B392" s="164" t="s">
        <v>626</v>
      </c>
      <c r="C392" s="174" t="s">
        <v>266</v>
      </c>
      <c r="D392" s="173">
        <v>2524652136</v>
      </c>
      <c r="E392" s="172">
        <v>466400098</v>
      </c>
      <c r="F392" s="164" t="s">
        <v>247</v>
      </c>
      <c r="G392" s="171">
        <v>34782</v>
      </c>
      <c r="H392" s="54">
        <f ca="1">DATEDIF(G392,TODAY(),"Y")</f>
        <v>21</v>
      </c>
      <c r="I392" s="170" t="str">
        <f>CHOOSE(MONTH(G392),"January","February","March","April","May","June","July","August","September","October","November","December")</f>
        <v>March</v>
      </c>
      <c r="J392" s="55"/>
      <c r="K392" s="56">
        <v>34800</v>
      </c>
      <c r="L392" s="169">
        <v>5</v>
      </c>
    </row>
    <row r="393" spans="1:12" x14ac:dyDescent="0.25">
      <c r="A393" s="164" t="s">
        <v>473</v>
      </c>
      <c r="B393" s="164" t="s">
        <v>678</v>
      </c>
      <c r="C393" s="174" t="s">
        <v>266</v>
      </c>
      <c r="D393" s="173">
        <v>9197494648</v>
      </c>
      <c r="E393" s="172">
        <v>113377726</v>
      </c>
      <c r="F393" s="164" t="s">
        <v>256</v>
      </c>
      <c r="G393" s="171">
        <v>37194</v>
      </c>
      <c r="H393" s="54">
        <f ca="1">DATEDIF(G393,TODAY(),"Y")</f>
        <v>15</v>
      </c>
      <c r="I393" s="170" t="str">
        <f>CHOOSE(MONTH(G393),"January","February","March","April","May","June","July","August","September","October","November","December")</f>
        <v>October</v>
      </c>
      <c r="J393" s="55" t="s">
        <v>283</v>
      </c>
      <c r="K393" s="56">
        <v>82092</v>
      </c>
      <c r="L393" s="169">
        <v>5</v>
      </c>
    </row>
    <row r="394" spans="1:12" x14ac:dyDescent="0.25">
      <c r="A394" s="164" t="s">
        <v>637</v>
      </c>
      <c r="B394" s="164" t="s">
        <v>678</v>
      </c>
      <c r="C394" s="174" t="s">
        <v>271</v>
      </c>
      <c r="D394" s="173">
        <v>2521919147</v>
      </c>
      <c r="E394" s="172">
        <v>788832967</v>
      </c>
      <c r="F394" s="164" t="s">
        <v>252</v>
      </c>
      <c r="G394" s="171">
        <v>36109</v>
      </c>
      <c r="H394" s="54">
        <f ca="1">DATEDIF(G394,TODAY(),"Y")</f>
        <v>17</v>
      </c>
      <c r="I394" s="170" t="str">
        <f>CHOOSE(MONTH(G394),"January","February","March","April","May","June","July","August","September","October","November","December")</f>
        <v>November</v>
      </c>
      <c r="J394" s="55"/>
      <c r="K394" s="56">
        <v>42374</v>
      </c>
      <c r="L394" s="169">
        <v>3</v>
      </c>
    </row>
    <row r="395" spans="1:12" x14ac:dyDescent="0.25">
      <c r="A395" s="164" t="s">
        <v>299</v>
      </c>
      <c r="B395" s="164" t="s">
        <v>678</v>
      </c>
      <c r="C395" s="174" t="s">
        <v>271</v>
      </c>
      <c r="D395" s="173">
        <v>2523820613</v>
      </c>
      <c r="E395" s="172">
        <v>797431044</v>
      </c>
      <c r="F395" s="164" t="s">
        <v>252</v>
      </c>
      <c r="G395" s="171">
        <v>36812</v>
      </c>
      <c r="H395" s="54">
        <f ca="1">DATEDIF(G395,TODAY(),"Y")</f>
        <v>16</v>
      </c>
      <c r="I395" s="170" t="str">
        <f>CHOOSE(MONTH(G395),"January","February","March","April","May","June","July","August","September","October","November","December")</f>
        <v>October</v>
      </c>
      <c r="J395" s="55"/>
      <c r="K395" s="56">
        <v>26002</v>
      </c>
      <c r="L395" s="169">
        <v>4</v>
      </c>
    </row>
    <row r="396" spans="1:12" x14ac:dyDescent="0.25">
      <c r="A396" s="164" t="s">
        <v>326</v>
      </c>
      <c r="B396" s="164" t="s">
        <v>678</v>
      </c>
      <c r="C396" s="174" t="s">
        <v>251</v>
      </c>
      <c r="D396" s="173">
        <v>2524373324</v>
      </c>
      <c r="E396" s="172">
        <v>755945415</v>
      </c>
      <c r="F396" s="164" t="s">
        <v>247</v>
      </c>
      <c r="G396" s="171">
        <v>41061</v>
      </c>
      <c r="H396" s="54">
        <f ca="1">DATEDIF(G396,TODAY(),"Y")</f>
        <v>4</v>
      </c>
      <c r="I396" s="170" t="str">
        <f>CHOOSE(MONTH(G396),"January","February","March","April","May","June","July","August","September","October","November","December")</f>
        <v>June</v>
      </c>
      <c r="J396" s="55"/>
      <c r="K396" s="56">
        <v>88824</v>
      </c>
      <c r="L396" s="169">
        <v>2</v>
      </c>
    </row>
    <row r="397" spans="1:12" x14ac:dyDescent="0.25">
      <c r="A397" s="164" t="s">
        <v>720</v>
      </c>
      <c r="B397" s="164" t="s">
        <v>678</v>
      </c>
      <c r="C397" s="174" t="s">
        <v>285</v>
      </c>
      <c r="D397" s="173">
        <v>9193820411</v>
      </c>
      <c r="E397" s="172">
        <v>414905182</v>
      </c>
      <c r="F397" s="164" t="s">
        <v>256</v>
      </c>
      <c r="G397" s="171">
        <v>35849</v>
      </c>
      <c r="H397" s="54">
        <f ca="1">DATEDIF(G397,TODAY(),"Y")</f>
        <v>18</v>
      </c>
      <c r="I397" s="170" t="str">
        <f>CHOOSE(MONTH(G397),"January","February","March","April","May","June","July","August","September","October","November","December")</f>
        <v>February</v>
      </c>
      <c r="J397" s="55" t="s">
        <v>283</v>
      </c>
      <c r="K397" s="56">
        <v>27432</v>
      </c>
      <c r="L397" s="169">
        <v>5</v>
      </c>
    </row>
    <row r="398" spans="1:12" x14ac:dyDescent="0.25">
      <c r="A398" s="164" t="s">
        <v>967</v>
      </c>
      <c r="B398" s="164" t="s">
        <v>678</v>
      </c>
      <c r="C398" s="174" t="s">
        <v>285</v>
      </c>
      <c r="D398" s="173">
        <v>9192126707</v>
      </c>
      <c r="E398" s="172">
        <v>468953266</v>
      </c>
      <c r="F398" s="164" t="s">
        <v>256</v>
      </c>
      <c r="G398" s="171">
        <v>34469</v>
      </c>
      <c r="H398" s="54">
        <f ca="1">DATEDIF(G398,TODAY(),"Y")</f>
        <v>22</v>
      </c>
      <c r="I398" s="170" t="str">
        <f>CHOOSE(MONTH(G398),"January","February","March","April","May","June","July","August","September","October","November","December")</f>
        <v>May</v>
      </c>
      <c r="J398" s="55" t="s">
        <v>257</v>
      </c>
      <c r="K398" s="56">
        <v>58260</v>
      </c>
      <c r="L398" s="169">
        <v>5</v>
      </c>
    </row>
    <row r="399" spans="1:12" x14ac:dyDescent="0.25">
      <c r="A399" s="164" t="s">
        <v>644</v>
      </c>
      <c r="B399" s="164" t="s">
        <v>678</v>
      </c>
      <c r="C399" s="174" t="s">
        <v>280</v>
      </c>
      <c r="D399" s="173">
        <v>2528183445</v>
      </c>
      <c r="E399" s="172">
        <v>247555666</v>
      </c>
      <c r="F399" s="164" t="s">
        <v>256</v>
      </c>
      <c r="G399" s="171">
        <v>34345</v>
      </c>
      <c r="H399" s="54">
        <f ca="1">DATEDIF(G399,TODAY(),"Y")</f>
        <v>22</v>
      </c>
      <c r="I399" s="170" t="str">
        <f>CHOOSE(MONTH(G399),"January","February","March","April","May","June","July","August","September","October","November","December")</f>
        <v>January</v>
      </c>
      <c r="J399" s="55" t="s">
        <v>257</v>
      </c>
      <c r="K399" s="56">
        <v>46932</v>
      </c>
      <c r="L399" s="169">
        <v>5</v>
      </c>
    </row>
    <row r="400" spans="1:12" x14ac:dyDescent="0.25">
      <c r="A400" s="164" t="s">
        <v>814</v>
      </c>
      <c r="B400" s="164" t="s">
        <v>678</v>
      </c>
      <c r="C400" s="174" t="s">
        <v>245</v>
      </c>
      <c r="D400" s="173">
        <v>9192529195</v>
      </c>
      <c r="E400" s="172">
        <v>550291321</v>
      </c>
      <c r="F400" s="164" t="s">
        <v>247</v>
      </c>
      <c r="G400" s="171">
        <v>36775</v>
      </c>
      <c r="H400" s="54">
        <f ca="1">DATEDIF(G400,TODAY(),"Y")</f>
        <v>16</v>
      </c>
      <c r="I400" s="170" t="str">
        <f>CHOOSE(MONTH(G400),"January","February","March","April","May","June","July","August","September","October","November","December")</f>
        <v>September</v>
      </c>
      <c r="J400" s="55"/>
      <c r="K400" s="56">
        <v>86976</v>
      </c>
      <c r="L400" s="169">
        <v>2</v>
      </c>
    </row>
    <row r="401" spans="1:12" x14ac:dyDescent="0.25">
      <c r="A401" s="164" t="s">
        <v>387</v>
      </c>
      <c r="B401" s="164" t="s">
        <v>678</v>
      </c>
      <c r="C401" s="174" t="s">
        <v>266</v>
      </c>
      <c r="D401" s="173">
        <v>9194605984</v>
      </c>
      <c r="E401" s="172">
        <v>917195248</v>
      </c>
      <c r="F401" s="164" t="s">
        <v>252</v>
      </c>
      <c r="G401" s="171">
        <v>38555</v>
      </c>
      <c r="H401" s="54">
        <f ca="1">DATEDIF(G401,TODAY(),"Y")</f>
        <v>11</v>
      </c>
      <c r="I401" s="170" t="str">
        <f>CHOOSE(MONTH(G401),"January","February","March","April","May","June","July","August","September","October","November","December")</f>
        <v>July</v>
      </c>
      <c r="J401" s="55"/>
      <c r="K401" s="56">
        <v>13253</v>
      </c>
      <c r="L401" s="169">
        <v>2</v>
      </c>
    </row>
    <row r="402" spans="1:12" x14ac:dyDescent="0.25">
      <c r="A402" s="164" t="s">
        <v>542</v>
      </c>
      <c r="B402" s="164" t="s">
        <v>678</v>
      </c>
      <c r="C402" s="174" t="s">
        <v>271</v>
      </c>
      <c r="D402" s="173">
        <v>9196109756</v>
      </c>
      <c r="E402" s="172">
        <v>332302868</v>
      </c>
      <c r="F402" s="164" t="s">
        <v>256</v>
      </c>
      <c r="G402" s="171">
        <v>36903</v>
      </c>
      <c r="H402" s="54">
        <f ca="1">DATEDIF(G402,TODAY(),"Y")</f>
        <v>15</v>
      </c>
      <c r="I402" s="170" t="str">
        <f>CHOOSE(MONTH(G402),"January","February","March","April","May","June","July","August","September","October","November","December")</f>
        <v>January</v>
      </c>
      <c r="J402" s="55" t="s">
        <v>283</v>
      </c>
      <c r="K402" s="56">
        <v>28224</v>
      </c>
      <c r="L402" s="169">
        <v>2</v>
      </c>
    </row>
    <row r="403" spans="1:12" x14ac:dyDescent="0.25">
      <c r="A403" s="164" t="s">
        <v>337</v>
      </c>
      <c r="B403" s="164" t="s">
        <v>678</v>
      </c>
      <c r="C403" s="174" t="s">
        <v>280</v>
      </c>
      <c r="D403" s="173">
        <v>9196753698</v>
      </c>
      <c r="E403" s="172">
        <v>303641529</v>
      </c>
      <c r="F403" s="164" t="s">
        <v>261</v>
      </c>
      <c r="G403" s="171">
        <v>35878</v>
      </c>
      <c r="H403" s="54">
        <f ca="1">DATEDIF(G403,TODAY(),"Y")</f>
        <v>18</v>
      </c>
      <c r="I403" s="170" t="str">
        <f>CHOOSE(MONTH(G403),"January","February","March","April","May","June","July","August","September","October","November","December")</f>
        <v>March</v>
      </c>
      <c r="J403" s="55" t="s">
        <v>257</v>
      </c>
      <c r="K403" s="56">
        <v>59286</v>
      </c>
      <c r="L403" s="169">
        <v>4</v>
      </c>
    </row>
    <row r="404" spans="1:12" x14ac:dyDescent="0.25">
      <c r="A404" s="164" t="s">
        <v>728</v>
      </c>
      <c r="B404" s="164" t="s">
        <v>678</v>
      </c>
      <c r="C404" s="174" t="s">
        <v>245</v>
      </c>
      <c r="D404" s="173">
        <v>2522523567</v>
      </c>
      <c r="E404" s="172">
        <v>261486180</v>
      </c>
      <c r="F404" s="164" t="s">
        <v>247</v>
      </c>
      <c r="G404" s="171">
        <v>37964</v>
      </c>
      <c r="H404" s="54">
        <f ca="1">DATEDIF(G404,TODAY(),"Y")</f>
        <v>12</v>
      </c>
      <c r="I404" s="170" t="str">
        <f>CHOOSE(MONTH(G404),"January","February","March","April","May","June","July","August","September","October","November","December")</f>
        <v>December</v>
      </c>
      <c r="J404" s="55"/>
      <c r="K404" s="56">
        <v>35448</v>
      </c>
      <c r="L404" s="169">
        <v>3</v>
      </c>
    </row>
    <row r="405" spans="1:12" x14ac:dyDescent="0.25">
      <c r="A405" s="164" t="s">
        <v>551</v>
      </c>
      <c r="B405" s="164" t="s">
        <v>678</v>
      </c>
      <c r="C405" s="174" t="s">
        <v>271</v>
      </c>
      <c r="D405" s="173">
        <v>2521389906</v>
      </c>
      <c r="E405" s="172">
        <v>221364716</v>
      </c>
      <c r="F405" s="164" t="s">
        <v>256</v>
      </c>
      <c r="G405" s="171">
        <v>37626</v>
      </c>
      <c r="H405" s="54">
        <f ca="1">DATEDIF(G405,TODAY(),"Y")</f>
        <v>13</v>
      </c>
      <c r="I405" s="170" t="str">
        <f>CHOOSE(MONTH(G405),"January","February","March","April","May","June","July","August","September","October","November","December")</f>
        <v>January</v>
      </c>
      <c r="J405" s="55" t="s">
        <v>257</v>
      </c>
      <c r="K405" s="56">
        <v>86184</v>
      </c>
      <c r="L405" s="169">
        <v>2</v>
      </c>
    </row>
    <row r="406" spans="1:12" x14ac:dyDescent="0.25">
      <c r="A406" s="164" t="s">
        <v>300</v>
      </c>
      <c r="B406" s="164" t="s">
        <v>678</v>
      </c>
      <c r="C406" s="174" t="s">
        <v>285</v>
      </c>
      <c r="D406" s="173">
        <v>9197187041</v>
      </c>
      <c r="E406" s="172">
        <v>167646549</v>
      </c>
      <c r="F406" s="164" t="s">
        <v>247</v>
      </c>
      <c r="G406" s="171">
        <v>38531</v>
      </c>
      <c r="H406" s="54">
        <f ca="1">DATEDIF(G406,TODAY(),"Y")</f>
        <v>11</v>
      </c>
      <c r="I406" s="170" t="str">
        <f>CHOOSE(MONTH(G406),"January","February","March","April","May","June","July","August","September","October","November","December")</f>
        <v>June</v>
      </c>
      <c r="J406" s="55"/>
      <c r="K406" s="56">
        <v>93720</v>
      </c>
      <c r="L406" s="169">
        <v>3</v>
      </c>
    </row>
    <row r="407" spans="1:12" x14ac:dyDescent="0.25">
      <c r="A407" s="164" t="s">
        <v>441</v>
      </c>
      <c r="B407" s="164" t="s">
        <v>678</v>
      </c>
      <c r="C407" s="174" t="s">
        <v>251</v>
      </c>
      <c r="D407" s="173">
        <v>9191617913</v>
      </c>
      <c r="E407" s="172">
        <v>859204644</v>
      </c>
      <c r="F407" s="164" t="s">
        <v>247</v>
      </c>
      <c r="G407" s="171">
        <v>36452</v>
      </c>
      <c r="H407" s="54">
        <f ca="1">DATEDIF(G407,TODAY(),"Y")</f>
        <v>17</v>
      </c>
      <c r="I407" s="170" t="str">
        <f>CHOOSE(MONTH(G407),"January","February","March","April","May","June","July","August","September","October","November","December")</f>
        <v>October</v>
      </c>
      <c r="J407" s="55"/>
      <c r="K407" s="56">
        <v>103764</v>
      </c>
      <c r="L407" s="169">
        <v>4</v>
      </c>
    </row>
    <row r="408" spans="1:12" x14ac:dyDescent="0.25">
      <c r="A408" s="164" t="s">
        <v>909</v>
      </c>
      <c r="B408" s="164" t="s">
        <v>678</v>
      </c>
      <c r="C408" s="174" t="s">
        <v>280</v>
      </c>
      <c r="D408" s="173">
        <v>9193891189</v>
      </c>
      <c r="E408" s="172">
        <v>478004556</v>
      </c>
      <c r="F408" s="164" t="s">
        <v>256</v>
      </c>
      <c r="G408" s="171">
        <v>41261</v>
      </c>
      <c r="H408" s="54">
        <f ca="1">DATEDIF(G408,TODAY(),"Y")</f>
        <v>3</v>
      </c>
      <c r="I408" s="170" t="str">
        <f>CHOOSE(MONTH(G408),"January","February","March","April","May","June","July","August","September","October","November","December")</f>
        <v>December</v>
      </c>
      <c r="J408" s="55" t="s">
        <v>276</v>
      </c>
      <c r="K408" s="56">
        <v>74616</v>
      </c>
      <c r="L408" s="169">
        <v>2</v>
      </c>
    </row>
    <row r="409" spans="1:12" x14ac:dyDescent="0.25">
      <c r="A409" s="164" t="s">
        <v>353</v>
      </c>
      <c r="B409" s="164" t="s">
        <v>678</v>
      </c>
      <c r="C409" s="174" t="s">
        <v>271</v>
      </c>
      <c r="D409" s="173">
        <v>2526525807</v>
      </c>
      <c r="E409" s="172">
        <v>122440839</v>
      </c>
      <c r="F409" s="164" t="s">
        <v>261</v>
      </c>
      <c r="G409" s="171">
        <v>36689</v>
      </c>
      <c r="H409" s="54">
        <f ca="1">DATEDIF(G409,TODAY(),"Y")</f>
        <v>16</v>
      </c>
      <c r="I409" s="170" t="str">
        <f>CHOOSE(MONTH(G409),"January","February","March","April","May","June","July","August","September","October","November","December")</f>
        <v>June</v>
      </c>
      <c r="J409" s="55" t="s">
        <v>257</v>
      </c>
      <c r="K409" s="56">
        <v>24600</v>
      </c>
      <c r="L409" s="169">
        <v>3</v>
      </c>
    </row>
    <row r="410" spans="1:12" x14ac:dyDescent="0.25">
      <c r="A410" s="164" t="s">
        <v>622</v>
      </c>
      <c r="B410" s="164" t="s">
        <v>678</v>
      </c>
      <c r="C410" s="174" t="s">
        <v>271</v>
      </c>
      <c r="D410" s="173">
        <v>9196795200</v>
      </c>
      <c r="E410" s="172">
        <v>397835298</v>
      </c>
      <c r="F410" s="164" t="s">
        <v>247</v>
      </c>
      <c r="G410" s="171">
        <v>41100</v>
      </c>
      <c r="H410" s="54">
        <f ca="1">DATEDIF(G410,TODAY(),"Y")</f>
        <v>4</v>
      </c>
      <c r="I410" s="170" t="str">
        <f>CHOOSE(MONTH(G410),"January","February","March","April","May","June","July","August","September","October","November","December")</f>
        <v>July</v>
      </c>
      <c r="J410" s="55"/>
      <c r="K410" s="56">
        <v>90120</v>
      </c>
      <c r="L410" s="169">
        <v>4</v>
      </c>
    </row>
    <row r="411" spans="1:12" x14ac:dyDescent="0.25">
      <c r="A411" s="164" t="s">
        <v>922</v>
      </c>
      <c r="B411" s="164" t="s">
        <v>678</v>
      </c>
      <c r="C411" s="174" t="s">
        <v>285</v>
      </c>
      <c r="D411" s="173">
        <v>2524264889</v>
      </c>
      <c r="E411" s="172">
        <v>802700229</v>
      </c>
      <c r="F411" s="164" t="s">
        <v>256</v>
      </c>
      <c r="G411" s="171">
        <v>34632</v>
      </c>
      <c r="H411" s="54">
        <f ca="1">DATEDIF(G411,TODAY(),"Y")</f>
        <v>22</v>
      </c>
      <c r="I411" s="170" t="str">
        <f>CHOOSE(MONTH(G411),"January","February","March","April","May","June","July","August","September","October","November","December")</f>
        <v>October</v>
      </c>
      <c r="J411" s="55" t="s">
        <v>262</v>
      </c>
      <c r="K411" s="56">
        <v>105576</v>
      </c>
      <c r="L411" s="169">
        <v>1</v>
      </c>
    </row>
    <row r="412" spans="1:12" x14ac:dyDescent="0.25">
      <c r="A412" s="164" t="s">
        <v>852</v>
      </c>
      <c r="B412" s="164" t="s">
        <v>678</v>
      </c>
      <c r="C412" s="174" t="s">
        <v>285</v>
      </c>
      <c r="D412" s="173">
        <v>9192783818</v>
      </c>
      <c r="E412" s="172">
        <v>557568959</v>
      </c>
      <c r="F412" s="164" t="s">
        <v>247</v>
      </c>
      <c r="G412" s="171">
        <v>36175</v>
      </c>
      <c r="H412" s="54">
        <f ca="1">DATEDIF(G412,TODAY(),"Y")</f>
        <v>17</v>
      </c>
      <c r="I412" s="170" t="str">
        <f>CHOOSE(MONTH(G412),"January","February","March","April","May","June","July","August","September","October","November","December")</f>
        <v>January</v>
      </c>
      <c r="J412" s="55"/>
      <c r="K412" s="56">
        <v>65028</v>
      </c>
      <c r="L412" s="169">
        <v>4</v>
      </c>
    </row>
    <row r="413" spans="1:12" x14ac:dyDescent="0.25">
      <c r="A413" s="164" t="s">
        <v>409</v>
      </c>
      <c r="B413" s="164" t="s">
        <v>678</v>
      </c>
      <c r="C413" s="174" t="s">
        <v>280</v>
      </c>
      <c r="D413" s="173">
        <v>2525555817</v>
      </c>
      <c r="E413" s="172">
        <v>665006199</v>
      </c>
      <c r="F413" s="164" t="s">
        <v>256</v>
      </c>
      <c r="G413" s="171">
        <v>37295</v>
      </c>
      <c r="H413" s="54">
        <f ca="1">DATEDIF(G413,TODAY(),"Y")</f>
        <v>14</v>
      </c>
      <c r="I413" s="170" t="str">
        <f>CHOOSE(MONTH(G413),"January","February","March","April","May","June","July","August","September","October","November","December")</f>
        <v>February</v>
      </c>
      <c r="J413" s="55" t="s">
        <v>276</v>
      </c>
      <c r="K413" s="56">
        <v>54540</v>
      </c>
      <c r="L413" s="169">
        <v>5</v>
      </c>
    </row>
    <row r="414" spans="1:12" x14ac:dyDescent="0.25">
      <c r="A414" s="164" t="s">
        <v>464</v>
      </c>
      <c r="B414" s="164" t="s">
        <v>700</v>
      </c>
      <c r="C414" s="174" t="s">
        <v>245</v>
      </c>
      <c r="D414" s="173">
        <v>2522911046</v>
      </c>
      <c r="E414" s="172">
        <v>425943144</v>
      </c>
      <c r="F414" s="164" t="s">
        <v>247</v>
      </c>
      <c r="G414" s="171">
        <v>35136</v>
      </c>
      <c r="H414" s="54">
        <f ca="1">DATEDIF(G414,TODAY(),"Y")</f>
        <v>20</v>
      </c>
      <c r="I414" s="170" t="str">
        <f>CHOOSE(MONTH(G414),"January","February","March","April","May","June","July","August","September","October","November","December")</f>
        <v>March</v>
      </c>
      <c r="J414" s="55"/>
      <c r="K414" s="56">
        <v>86040</v>
      </c>
      <c r="L414" s="169">
        <v>2</v>
      </c>
    </row>
    <row r="415" spans="1:12" x14ac:dyDescent="0.25">
      <c r="A415" s="164" t="s">
        <v>554</v>
      </c>
      <c r="B415" s="164" t="s">
        <v>700</v>
      </c>
      <c r="C415" s="174" t="s">
        <v>245</v>
      </c>
      <c r="D415" s="173">
        <v>9197764351</v>
      </c>
      <c r="E415" s="172">
        <v>252582122</v>
      </c>
      <c r="F415" s="164" t="s">
        <v>247</v>
      </c>
      <c r="G415" s="171">
        <v>36179</v>
      </c>
      <c r="H415" s="54">
        <f ca="1">DATEDIF(G415,TODAY(),"Y")</f>
        <v>17</v>
      </c>
      <c r="I415" s="170" t="str">
        <f>CHOOSE(MONTH(G415),"January","February","March","April","May","June","July","August","September","October","November","December")</f>
        <v>January</v>
      </c>
      <c r="J415" s="55"/>
      <c r="K415" s="56">
        <v>30144</v>
      </c>
      <c r="L415" s="169">
        <v>2</v>
      </c>
    </row>
    <row r="416" spans="1:12" x14ac:dyDescent="0.25">
      <c r="A416" s="164" t="s">
        <v>834</v>
      </c>
      <c r="B416" s="164" t="s">
        <v>700</v>
      </c>
      <c r="C416" s="174" t="s">
        <v>271</v>
      </c>
      <c r="D416" s="173">
        <v>9194794769</v>
      </c>
      <c r="E416" s="172">
        <v>121688720</v>
      </c>
      <c r="F416" s="164" t="s">
        <v>247</v>
      </c>
      <c r="G416" s="171">
        <v>36295</v>
      </c>
      <c r="H416" s="54">
        <f ca="1">DATEDIF(G416,TODAY(),"Y")</f>
        <v>17</v>
      </c>
      <c r="I416" s="170" t="str">
        <f>CHOOSE(MONTH(G416),"January","February","March","April","May","June","July","August","September","October","November","December")</f>
        <v>May</v>
      </c>
      <c r="J416" s="55"/>
      <c r="K416" s="56">
        <v>53784</v>
      </c>
      <c r="L416" s="169">
        <v>4</v>
      </c>
    </row>
    <row r="417" spans="1:12" x14ac:dyDescent="0.25">
      <c r="A417" s="164" t="s">
        <v>291</v>
      </c>
      <c r="B417" s="164" t="s">
        <v>700</v>
      </c>
      <c r="C417" s="174" t="s">
        <v>285</v>
      </c>
      <c r="D417" s="173">
        <v>9192601200</v>
      </c>
      <c r="E417" s="172">
        <v>974912089</v>
      </c>
      <c r="F417" s="164" t="s">
        <v>256</v>
      </c>
      <c r="G417" s="171">
        <v>35542</v>
      </c>
      <c r="H417" s="54">
        <f ca="1">DATEDIF(G417,TODAY(),"Y")</f>
        <v>19</v>
      </c>
      <c r="I417" s="170" t="str">
        <f>CHOOSE(MONTH(G417),"January","February","March","April","May","June","July","August","September","October","November","December")</f>
        <v>April</v>
      </c>
      <c r="J417" s="55" t="s">
        <v>257</v>
      </c>
      <c r="K417" s="56">
        <v>75828</v>
      </c>
      <c r="L417" s="169">
        <v>1</v>
      </c>
    </row>
    <row r="418" spans="1:12" x14ac:dyDescent="0.25">
      <c r="A418" s="164" t="s">
        <v>706</v>
      </c>
      <c r="B418" s="164" t="s">
        <v>705</v>
      </c>
      <c r="C418" s="174" t="s">
        <v>271</v>
      </c>
      <c r="D418" s="173">
        <v>9194471952</v>
      </c>
      <c r="E418" s="172">
        <v>931977751</v>
      </c>
      <c r="F418" s="164" t="s">
        <v>256</v>
      </c>
      <c r="G418" s="171">
        <v>35629</v>
      </c>
      <c r="H418" s="54">
        <f ca="1">DATEDIF(G418,TODAY(),"Y")</f>
        <v>19</v>
      </c>
      <c r="I418" s="170" t="str">
        <f>CHOOSE(MONTH(G418),"January","February","March","April","May","June","July","August","September","October","November","December")</f>
        <v>July</v>
      </c>
      <c r="J418" s="55" t="s">
        <v>257</v>
      </c>
      <c r="K418" s="56">
        <v>30996</v>
      </c>
      <c r="L418" s="169">
        <v>5</v>
      </c>
    </row>
    <row r="419" spans="1:12" x14ac:dyDescent="0.25">
      <c r="A419" s="164" t="s">
        <v>627</v>
      </c>
      <c r="B419" s="164" t="s">
        <v>705</v>
      </c>
      <c r="C419" s="174" t="s">
        <v>285</v>
      </c>
      <c r="D419" s="173">
        <v>2527345539</v>
      </c>
      <c r="E419" s="172">
        <v>842774592</v>
      </c>
      <c r="F419" s="164" t="s">
        <v>252</v>
      </c>
      <c r="G419" s="171">
        <v>38872</v>
      </c>
      <c r="H419" s="54">
        <f ca="1">DATEDIF(G419,TODAY(),"Y")</f>
        <v>10</v>
      </c>
      <c r="I419" s="170" t="str">
        <f>CHOOSE(MONTH(G419),"January","February","March","April","May","June","July","August","September","October","November","December")</f>
        <v>June</v>
      </c>
      <c r="J419" s="55"/>
      <c r="K419" s="56">
        <v>40214</v>
      </c>
      <c r="L419" s="169">
        <v>4</v>
      </c>
    </row>
    <row r="420" spans="1:12" x14ac:dyDescent="0.25">
      <c r="A420" s="164" t="s">
        <v>475</v>
      </c>
      <c r="B420" s="164" t="s">
        <v>705</v>
      </c>
      <c r="C420" s="174" t="s">
        <v>251</v>
      </c>
      <c r="D420" s="173">
        <v>9195750692</v>
      </c>
      <c r="E420" s="172">
        <v>719165738</v>
      </c>
      <c r="F420" s="164" t="s">
        <v>247</v>
      </c>
      <c r="G420" s="171">
        <v>41196</v>
      </c>
      <c r="H420" s="54">
        <f ca="1">DATEDIF(G420,TODAY(),"Y")</f>
        <v>4</v>
      </c>
      <c r="I420" s="170" t="str">
        <f>CHOOSE(MONTH(G420),"January","February","March","April","May","June","July","August","September","October","November","December")</f>
        <v>October</v>
      </c>
      <c r="J420" s="55"/>
      <c r="K420" s="56">
        <v>47328</v>
      </c>
      <c r="L420" s="169">
        <v>4</v>
      </c>
    </row>
    <row r="421" spans="1:12" x14ac:dyDescent="0.25">
      <c r="A421" s="164" t="s">
        <v>476</v>
      </c>
      <c r="B421" s="164" t="s">
        <v>705</v>
      </c>
      <c r="C421" s="174" t="s">
        <v>271</v>
      </c>
      <c r="D421" s="173">
        <v>9194694995</v>
      </c>
      <c r="E421" s="172">
        <v>960967007</v>
      </c>
      <c r="F421" s="164" t="s">
        <v>247</v>
      </c>
      <c r="G421" s="171">
        <v>37351</v>
      </c>
      <c r="H421" s="54">
        <f ca="1">DATEDIF(G421,TODAY(),"Y")</f>
        <v>14</v>
      </c>
      <c r="I421" s="170" t="str">
        <f>CHOOSE(MONTH(G421),"January","February","March","April","May","June","July","August","September","October","November","December")</f>
        <v>April</v>
      </c>
      <c r="J421" s="55"/>
      <c r="K421" s="56">
        <v>36360</v>
      </c>
      <c r="L421" s="169">
        <v>1</v>
      </c>
    </row>
    <row r="422" spans="1:12" x14ac:dyDescent="0.25">
      <c r="A422" s="164" t="s">
        <v>486</v>
      </c>
      <c r="B422" s="164" t="s">
        <v>705</v>
      </c>
      <c r="C422" s="174" t="s">
        <v>251</v>
      </c>
      <c r="D422" s="173">
        <v>9193967339</v>
      </c>
      <c r="E422" s="172">
        <v>761337848</v>
      </c>
      <c r="F422" s="164" t="s">
        <v>247</v>
      </c>
      <c r="G422" s="171">
        <v>35230</v>
      </c>
      <c r="H422" s="54">
        <f ca="1">DATEDIF(G422,TODAY(),"Y")</f>
        <v>20</v>
      </c>
      <c r="I422" s="170" t="str">
        <f>CHOOSE(MONTH(G422),"January","February","March","April","May","June","July","August","September","October","November","December")</f>
        <v>June</v>
      </c>
      <c r="J422" s="55"/>
      <c r="K422" s="56">
        <v>80052</v>
      </c>
      <c r="L422" s="169">
        <v>2</v>
      </c>
    </row>
    <row r="423" spans="1:12" x14ac:dyDescent="0.25">
      <c r="A423" s="164" t="s">
        <v>419</v>
      </c>
      <c r="B423" s="164" t="s">
        <v>705</v>
      </c>
      <c r="C423" s="174" t="s">
        <v>271</v>
      </c>
      <c r="D423" s="173">
        <v>9194518022</v>
      </c>
      <c r="E423" s="172">
        <v>290385638</v>
      </c>
      <c r="F423" s="164" t="s">
        <v>261</v>
      </c>
      <c r="G423" s="171">
        <v>34230</v>
      </c>
      <c r="H423" s="54">
        <f ca="1">DATEDIF(G423,TODAY(),"Y")</f>
        <v>23</v>
      </c>
      <c r="I423" s="170" t="str">
        <f>CHOOSE(MONTH(G423),"January","February","March","April","May","June","July","August","September","October","November","December")</f>
        <v>September</v>
      </c>
      <c r="J423" s="55" t="s">
        <v>262</v>
      </c>
      <c r="K423" s="56">
        <v>42054</v>
      </c>
      <c r="L423" s="169">
        <v>4</v>
      </c>
    </row>
    <row r="424" spans="1:12" x14ac:dyDescent="0.25">
      <c r="A424" s="164" t="s">
        <v>380</v>
      </c>
      <c r="B424" s="164" t="s">
        <v>705</v>
      </c>
      <c r="C424" s="174" t="s">
        <v>285</v>
      </c>
      <c r="D424" s="173">
        <v>9194744493</v>
      </c>
      <c r="E424" s="172">
        <v>959568761</v>
      </c>
      <c r="F424" s="164" t="s">
        <v>256</v>
      </c>
      <c r="G424" s="171">
        <v>34185</v>
      </c>
      <c r="H424" s="54">
        <f ca="1">DATEDIF(G424,TODAY(),"Y")</f>
        <v>23</v>
      </c>
      <c r="I424" s="170" t="str">
        <f>CHOOSE(MONTH(G424),"January","February","March","April","May","June","July","August","September","October","November","December")</f>
        <v>August</v>
      </c>
      <c r="J424" s="55" t="s">
        <v>267</v>
      </c>
      <c r="K424" s="56">
        <v>73764</v>
      </c>
      <c r="L424" s="169">
        <v>5</v>
      </c>
    </row>
    <row r="425" spans="1:12" x14ac:dyDescent="0.25">
      <c r="A425" s="164" t="s">
        <v>684</v>
      </c>
      <c r="B425" s="164" t="s">
        <v>705</v>
      </c>
      <c r="C425" s="174" t="s">
        <v>285</v>
      </c>
      <c r="D425" s="173">
        <v>9196335284</v>
      </c>
      <c r="E425" s="172">
        <v>824046378</v>
      </c>
      <c r="F425" s="164" t="s">
        <v>256</v>
      </c>
      <c r="G425" s="171">
        <v>36107</v>
      </c>
      <c r="H425" s="54">
        <f ca="1">DATEDIF(G425,TODAY(),"Y")</f>
        <v>18</v>
      </c>
      <c r="I425" s="170" t="str">
        <f>CHOOSE(MONTH(G425),"January","February","March","April","May","June","July","August","September","October","November","December")</f>
        <v>November</v>
      </c>
      <c r="J425" s="55" t="s">
        <v>276</v>
      </c>
      <c r="K425" s="56">
        <v>80676</v>
      </c>
      <c r="L425" s="169">
        <v>4</v>
      </c>
    </row>
    <row r="426" spans="1:12" x14ac:dyDescent="0.25">
      <c r="A426" s="164" t="s">
        <v>947</v>
      </c>
      <c r="B426" s="164" t="s">
        <v>705</v>
      </c>
      <c r="C426" s="174" t="s">
        <v>271</v>
      </c>
      <c r="D426" s="173">
        <v>9191162663</v>
      </c>
      <c r="E426" s="172">
        <v>272714784</v>
      </c>
      <c r="F426" s="164" t="s">
        <v>252</v>
      </c>
      <c r="G426" s="171">
        <v>38439</v>
      </c>
      <c r="H426" s="54">
        <f ca="1">DATEDIF(G426,TODAY(),"Y")</f>
        <v>11</v>
      </c>
      <c r="I426" s="170" t="str">
        <f>CHOOSE(MONTH(G426),"January","February","March","April","May","June","July","August","September","October","November","December")</f>
        <v>March</v>
      </c>
      <c r="J426" s="55"/>
      <c r="K426" s="56">
        <v>25978</v>
      </c>
      <c r="L426" s="169">
        <v>2</v>
      </c>
    </row>
    <row r="427" spans="1:12" x14ac:dyDescent="0.25">
      <c r="A427" s="164" t="s">
        <v>874</v>
      </c>
      <c r="B427" s="164" t="s">
        <v>705</v>
      </c>
      <c r="C427" s="174" t="s">
        <v>251</v>
      </c>
      <c r="D427" s="173">
        <v>9196069116</v>
      </c>
      <c r="E427" s="172">
        <v>120479503</v>
      </c>
      <c r="F427" s="164" t="s">
        <v>261</v>
      </c>
      <c r="G427" s="171">
        <v>40027</v>
      </c>
      <c r="H427" s="54">
        <f ca="1">DATEDIF(G427,TODAY(),"Y")</f>
        <v>7</v>
      </c>
      <c r="I427" s="170" t="str">
        <f>CHOOSE(MONTH(G427),"January","February","March","April","May","June","July","August","September","October","November","December")</f>
        <v>August</v>
      </c>
      <c r="J427" s="55" t="s">
        <v>276</v>
      </c>
      <c r="K427" s="56">
        <v>57312</v>
      </c>
      <c r="L427" s="169">
        <v>3</v>
      </c>
    </row>
    <row r="428" spans="1:12" x14ac:dyDescent="0.25">
      <c r="A428" s="164" t="s">
        <v>791</v>
      </c>
      <c r="B428" s="164" t="s">
        <v>705</v>
      </c>
      <c r="C428" s="174" t="s">
        <v>245</v>
      </c>
      <c r="D428" s="173">
        <v>9193744359</v>
      </c>
      <c r="E428" s="172">
        <v>294130565</v>
      </c>
      <c r="F428" s="164" t="s">
        <v>256</v>
      </c>
      <c r="G428" s="171">
        <v>34364</v>
      </c>
      <c r="H428" s="54">
        <f ca="1">DATEDIF(G428,TODAY(),"Y")</f>
        <v>22</v>
      </c>
      <c r="I428" s="170" t="str">
        <f>CHOOSE(MONTH(G428),"January","February","March","April","May","June","July","August","September","October","November","December")</f>
        <v>January</v>
      </c>
      <c r="J428" s="55" t="s">
        <v>257</v>
      </c>
      <c r="K428" s="56">
        <v>31632</v>
      </c>
      <c r="L428" s="169">
        <v>1</v>
      </c>
    </row>
    <row r="429" spans="1:12" x14ac:dyDescent="0.25">
      <c r="A429" s="164" t="s">
        <v>425</v>
      </c>
      <c r="B429" s="164" t="s">
        <v>705</v>
      </c>
      <c r="C429" s="174" t="s">
        <v>271</v>
      </c>
      <c r="D429" s="173">
        <v>2526345909</v>
      </c>
      <c r="E429" s="172">
        <v>617795992</v>
      </c>
      <c r="F429" s="164" t="s">
        <v>256</v>
      </c>
      <c r="G429" s="171">
        <v>34306</v>
      </c>
      <c r="H429" s="54">
        <f ca="1">DATEDIF(G429,TODAY(),"Y")</f>
        <v>22</v>
      </c>
      <c r="I429" s="170" t="str">
        <f>CHOOSE(MONTH(G429),"January","February","March","April","May","June","July","August","September","October","November","December")</f>
        <v>December</v>
      </c>
      <c r="J429" s="55" t="s">
        <v>257</v>
      </c>
      <c r="K429" s="56">
        <v>52296</v>
      </c>
      <c r="L429" s="169">
        <v>5</v>
      </c>
    </row>
    <row r="430" spans="1:12" x14ac:dyDescent="0.25">
      <c r="A430" s="164" t="s">
        <v>513</v>
      </c>
      <c r="B430" s="164" t="s">
        <v>705</v>
      </c>
      <c r="C430" s="174" t="s">
        <v>280</v>
      </c>
      <c r="D430" s="173">
        <v>9193199265</v>
      </c>
      <c r="E430" s="172">
        <v>577239513</v>
      </c>
      <c r="F430" s="164" t="s">
        <v>256</v>
      </c>
      <c r="G430" s="171">
        <v>35861</v>
      </c>
      <c r="H430" s="54">
        <f ca="1">DATEDIF(G430,TODAY(),"Y")</f>
        <v>18</v>
      </c>
      <c r="I430" s="170" t="str">
        <f>CHOOSE(MONTH(G430),"January","February","March","April","May","June","July","August","September","October","November","December")</f>
        <v>March</v>
      </c>
      <c r="J430" s="55" t="s">
        <v>283</v>
      </c>
      <c r="K430" s="56">
        <v>75696</v>
      </c>
      <c r="L430" s="169">
        <v>5</v>
      </c>
    </row>
    <row r="431" spans="1:12" x14ac:dyDescent="0.25">
      <c r="A431" s="164" t="s">
        <v>950</v>
      </c>
      <c r="B431" s="164" t="s">
        <v>705</v>
      </c>
      <c r="C431" s="174" t="s">
        <v>245</v>
      </c>
      <c r="D431" s="173">
        <v>2528627048</v>
      </c>
      <c r="E431" s="172">
        <v>724193735</v>
      </c>
      <c r="F431" s="164" t="s">
        <v>256</v>
      </c>
      <c r="G431" s="171">
        <v>34348</v>
      </c>
      <c r="H431" s="54">
        <f ca="1">DATEDIF(G431,TODAY(),"Y")</f>
        <v>22</v>
      </c>
      <c r="I431" s="170" t="str">
        <f>CHOOSE(MONTH(G431),"January","February","March","April","May","June","July","August","September","October","November","December")</f>
        <v>January</v>
      </c>
      <c r="J431" s="55" t="s">
        <v>283</v>
      </c>
      <c r="K431" s="56">
        <v>51828</v>
      </c>
      <c r="L431" s="169">
        <v>2</v>
      </c>
    </row>
    <row r="432" spans="1:12" x14ac:dyDescent="0.25">
      <c r="A432" s="164" t="s">
        <v>952</v>
      </c>
      <c r="B432" s="164" t="s">
        <v>705</v>
      </c>
      <c r="C432" s="174" t="s">
        <v>266</v>
      </c>
      <c r="D432" s="173">
        <v>9197312659</v>
      </c>
      <c r="E432" s="172">
        <v>297806507</v>
      </c>
      <c r="F432" s="164" t="s">
        <v>256</v>
      </c>
      <c r="G432" s="171">
        <v>35468</v>
      </c>
      <c r="H432" s="54">
        <f ca="1">DATEDIF(G432,TODAY(),"Y")</f>
        <v>19</v>
      </c>
      <c r="I432" s="170" t="str">
        <f>CHOOSE(MONTH(G432),"January","February","March","April","May","June","July","August","September","October","November","December")</f>
        <v>February</v>
      </c>
      <c r="J432" s="55" t="s">
        <v>267</v>
      </c>
      <c r="K432" s="56">
        <v>93408</v>
      </c>
      <c r="L432" s="169">
        <v>2</v>
      </c>
    </row>
    <row r="433" spans="1:12" x14ac:dyDescent="0.25">
      <c r="A433" s="164" t="s">
        <v>384</v>
      </c>
      <c r="B433" s="164" t="s">
        <v>705</v>
      </c>
      <c r="C433" s="174" t="s">
        <v>271</v>
      </c>
      <c r="D433" s="173">
        <v>9195512521</v>
      </c>
      <c r="E433" s="172">
        <v>839899522</v>
      </c>
      <c r="F433" s="164" t="s">
        <v>256</v>
      </c>
      <c r="G433" s="171">
        <v>36697</v>
      </c>
      <c r="H433" s="54">
        <f ca="1">DATEDIF(G433,TODAY(),"Y")</f>
        <v>16</v>
      </c>
      <c r="I433" s="170" t="str">
        <f>CHOOSE(MONTH(G433),"January","February","March","April","May","June","July","August","September","October","November","December")</f>
        <v>June</v>
      </c>
      <c r="J433" s="55" t="s">
        <v>257</v>
      </c>
      <c r="K433" s="56">
        <v>89436</v>
      </c>
      <c r="L433" s="169">
        <v>5</v>
      </c>
    </row>
    <row r="434" spans="1:12" x14ac:dyDescent="0.25">
      <c r="A434" s="164" t="s">
        <v>806</v>
      </c>
      <c r="B434" s="164" t="s">
        <v>705</v>
      </c>
      <c r="C434" s="174" t="s">
        <v>285</v>
      </c>
      <c r="D434" s="173">
        <v>2521658481</v>
      </c>
      <c r="E434" s="172">
        <v>489013842</v>
      </c>
      <c r="F434" s="164" t="s">
        <v>261</v>
      </c>
      <c r="G434" s="171">
        <v>37423</v>
      </c>
      <c r="H434" s="54">
        <f ca="1">DATEDIF(G434,TODAY(),"Y")</f>
        <v>14</v>
      </c>
      <c r="I434" s="170" t="str">
        <f>CHOOSE(MONTH(G434),"January","February","March","April","May","June","July","August","September","October","November","December")</f>
        <v>June</v>
      </c>
      <c r="J434" s="55" t="s">
        <v>283</v>
      </c>
      <c r="K434" s="56">
        <v>34806</v>
      </c>
      <c r="L434" s="169">
        <v>1</v>
      </c>
    </row>
    <row r="435" spans="1:12" x14ac:dyDescent="0.25">
      <c r="A435" s="164" t="s">
        <v>529</v>
      </c>
      <c r="B435" s="164" t="s">
        <v>705</v>
      </c>
      <c r="C435" s="174" t="s">
        <v>280</v>
      </c>
      <c r="D435" s="173">
        <v>2521780498</v>
      </c>
      <c r="E435" s="172">
        <v>213741822</v>
      </c>
      <c r="F435" s="164" t="s">
        <v>247</v>
      </c>
      <c r="G435" s="171">
        <v>36649</v>
      </c>
      <c r="H435" s="54">
        <f ca="1">DATEDIF(G435,TODAY(),"Y")</f>
        <v>16</v>
      </c>
      <c r="I435" s="170" t="str">
        <f>CHOOSE(MONTH(G435),"January","February","March","April","May","June","July","August","September","October","November","December")</f>
        <v>May</v>
      </c>
      <c r="J435" s="55"/>
      <c r="K435" s="56">
        <v>75996</v>
      </c>
      <c r="L435" s="169">
        <v>4</v>
      </c>
    </row>
    <row r="436" spans="1:12" x14ac:dyDescent="0.25">
      <c r="A436" s="164" t="s">
        <v>888</v>
      </c>
      <c r="B436" s="164" t="s">
        <v>705</v>
      </c>
      <c r="C436" s="174" t="s">
        <v>245</v>
      </c>
      <c r="D436" s="173">
        <v>2525236892</v>
      </c>
      <c r="E436" s="172">
        <v>972791650</v>
      </c>
      <c r="F436" s="164" t="s">
        <v>261</v>
      </c>
      <c r="G436" s="171">
        <v>38198</v>
      </c>
      <c r="H436" s="54">
        <f ca="1">DATEDIF(G436,TODAY(),"Y")</f>
        <v>12</v>
      </c>
      <c r="I436" s="170" t="str">
        <f>CHOOSE(MONTH(G436),"January","February","March","April","May","June","July","August","September","October","November","December")</f>
        <v>July</v>
      </c>
      <c r="J436" s="55" t="s">
        <v>257</v>
      </c>
      <c r="K436" s="56">
        <v>40572</v>
      </c>
      <c r="L436" s="169">
        <v>5</v>
      </c>
    </row>
    <row r="437" spans="1:12" x14ac:dyDescent="0.25">
      <c r="A437" s="164" t="s">
        <v>331</v>
      </c>
      <c r="B437" s="164" t="s">
        <v>705</v>
      </c>
      <c r="C437" s="174" t="s">
        <v>251</v>
      </c>
      <c r="D437" s="173">
        <v>2525796953</v>
      </c>
      <c r="E437" s="172">
        <v>551132018</v>
      </c>
      <c r="F437" s="164" t="s">
        <v>256</v>
      </c>
      <c r="G437" s="171">
        <v>41098</v>
      </c>
      <c r="H437" s="54">
        <f ca="1">DATEDIF(G437,TODAY(),"Y")</f>
        <v>4</v>
      </c>
      <c r="I437" s="170" t="str">
        <f>CHOOSE(MONTH(G437),"January","February","March","April","May","June","July","August","September","October","November","December")</f>
        <v>July</v>
      </c>
      <c r="J437" s="55" t="s">
        <v>257</v>
      </c>
      <c r="K437" s="56">
        <v>80208</v>
      </c>
      <c r="L437" s="169">
        <v>4</v>
      </c>
    </row>
    <row r="438" spans="1:12" x14ac:dyDescent="0.25">
      <c r="A438" s="164" t="s">
        <v>892</v>
      </c>
      <c r="B438" s="164" t="s">
        <v>705</v>
      </c>
      <c r="C438" s="174" t="s">
        <v>285</v>
      </c>
      <c r="D438" s="173">
        <v>2525048978</v>
      </c>
      <c r="E438" s="172">
        <v>868128171</v>
      </c>
      <c r="F438" s="164" t="s">
        <v>256</v>
      </c>
      <c r="G438" s="171">
        <v>34606</v>
      </c>
      <c r="H438" s="54">
        <f ca="1">DATEDIF(G438,TODAY(),"Y")</f>
        <v>22</v>
      </c>
      <c r="I438" s="170" t="str">
        <f>CHOOSE(MONTH(G438),"January","February","March","April","May","June","July","August","September","October","November","December")</f>
        <v>September</v>
      </c>
      <c r="J438" s="55" t="s">
        <v>276</v>
      </c>
      <c r="K438" s="56">
        <v>90444</v>
      </c>
      <c r="L438" s="169">
        <v>2</v>
      </c>
    </row>
    <row r="439" spans="1:12" x14ac:dyDescent="0.25">
      <c r="A439" s="164" t="s">
        <v>535</v>
      </c>
      <c r="B439" s="164" t="s">
        <v>705</v>
      </c>
      <c r="C439" s="174" t="s">
        <v>266</v>
      </c>
      <c r="D439" s="173">
        <v>9198624601</v>
      </c>
      <c r="E439" s="172">
        <v>443238477</v>
      </c>
      <c r="F439" s="164" t="s">
        <v>256</v>
      </c>
      <c r="G439" s="171">
        <v>40406</v>
      </c>
      <c r="H439" s="54">
        <f ca="1">DATEDIF(G439,TODAY(),"Y")</f>
        <v>6</v>
      </c>
      <c r="I439" s="170" t="str">
        <f>CHOOSE(MONTH(G439),"January","February","March","April","May","June","July","August","September","October","November","December")</f>
        <v>August</v>
      </c>
      <c r="J439" s="55" t="s">
        <v>283</v>
      </c>
      <c r="K439" s="56">
        <v>96108</v>
      </c>
      <c r="L439" s="169">
        <v>2</v>
      </c>
    </row>
    <row r="440" spans="1:12" x14ac:dyDescent="0.25">
      <c r="A440" s="164" t="s">
        <v>646</v>
      </c>
      <c r="B440" s="164" t="s">
        <v>705</v>
      </c>
      <c r="C440" s="174" t="s">
        <v>280</v>
      </c>
      <c r="D440" s="173">
        <v>2522172913</v>
      </c>
      <c r="E440" s="172">
        <v>542214575</v>
      </c>
      <c r="F440" s="164" t="s">
        <v>256</v>
      </c>
      <c r="G440" s="171">
        <v>35430</v>
      </c>
      <c r="H440" s="54">
        <f ca="1">DATEDIF(G440,TODAY(),"Y")</f>
        <v>19</v>
      </c>
      <c r="I440" s="170" t="str">
        <f>CHOOSE(MONTH(G440),"January","February","March","April","May","June","July","August","September","October","November","December")</f>
        <v>December</v>
      </c>
      <c r="J440" s="55" t="s">
        <v>257</v>
      </c>
      <c r="K440" s="56">
        <v>104436</v>
      </c>
      <c r="L440" s="169">
        <v>3</v>
      </c>
    </row>
    <row r="441" spans="1:12" x14ac:dyDescent="0.25">
      <c r="A441" s="164" t="s">
        <v>973</v>
      </c>
      <c r="B441" s="164" t="s">
        <v>705</v>
      </c>
      <c r="C441" s="174" t="s">
        <v>280</v>
      </c>
      <c r="D441" s="173">
        <v>2525866679</v>
      </c>
      <c r="E441" s="172">
        <v>291803431</v>
      </c>
      <c r="F441" s="164" t="s">
        <v>247</v>
      </c>
      <c r="G441" s="171">
        <v>40511</v>
      </c>
      <c r="H441" s="54">
        <f ca="1">DATEDIF(G441,TODAY(),"Y")</f>
        <v>5</v>
      </c>
      <c r="I441" s="170" t="str">
        <f>CHOOSE(MONTH(G441),"January","February","March","April","May","June","July","August","September","October","November","December")</f>
        <v>November</v>
      </c>
      <c r="J441" s="55"/>
      <c r="K441" s="56">
        <v>64800</v>
      </c>
      <c r="L441" s="169">
        <v>3</v>
      </c>
    </row>
    <row r="442" spans="1:12" x14ac:dyDescent="0.25">
      <c r="A442" s="164" t="s">
        <v>688</v>
      </c>
      <c r="B442" s="164" t="s">
        <v>705</v>
      </c>
      <c r="C442" s="174" t="s">
        <v>271</v>
      </c>
      <c r="D442" s="173">
        <v>2526007063</v>
      </c>
      <c r="E442" s="172">
        <v>972086665</v>
      </c>
      <c r="F442" s="164" t="s">
        <v>256</v>
      </c>
      <c r="G442" s="171">
        <v>38955</v>
      </c>
      <c r="H442" s="54">
        <f ca="1">DATEDIF(G442,TODAY(),"Y")</f>
        <v>10</v>
      </c>
      <c r="I442" s="170" t="str">
        <f>CHOOSE(MONTH(G442),"January","February","March","April","May","June","July","August","September","October","November","December")</f>
        <v>August</v>
      </c>
      <c r="J442" s="55" t="s">
        <v>283</v>
      </c>
      <c r="K442" s="56">
        <v>103440</v>
      </c>
      <c r="L442" s="169">
        <v>3</v>
      </c>
    </row>
    <row r="443" spans="1:12" x14ac:dyDescent="0.25">
      <c r="A443" s="164" t="s">
        <v>398</v>
      </c>
      <c r="B443" s="164" t="s">
        <v>705</v>
      </c>
      <c r="C443" s="174" t="s">
        <v>245</v>
      </c>
      <c r="D443" s="173">
        <v>9192602559</v>
      </c>
      <c r="E443" s="172">
        <v>623823805</v>
      </c>
      <c r="F443" s="164" t="s">
        <v>252</v>
      </c>
      <c r="G443" s="171">
        <v>41131</v>
      </c>
      <c r="H443" s="54">
        <f ca="1">DATEDIF(G443,TODAY(),"Y")</f>
        <v>4</v>
      </c>
      <c r="I443" s="170" t="str">
        <f>CHOOSE(MONTH(G443),"January","February","March","April","May","June","July","August","September","October","November","December")</f>
        <v>August</v>
      </c>
      <c r="J443" s="55"/>
      <c r="K443" s="56">
        <v>18067</v>
      </c>
      <c r="L443" s="169">
        <v>5</v>
      </c>
    </row>
    <row r="444" spans="1:12" x14ac:dyDescent="0.25">
      <c r="A444" s="164" t="s">
        <v>991</v>
      </c>
      <c r="B444" s="164" t="s">
        <v>705</v>
      </c>
      <c r="C444" s="174" t="s">
        <v>251</v>
      </c>
      <c r="D444" s="173">
        <v>2528359862</v>
      </c>
      <c r="E444" s="172">
        <v>711445298</v>
      </c>
      <c r="F444" s="164" t="s">
        <v>247</v>
      </c>
      <c r="G444" s="171">
        <v>41348</v>
      </c>
      <c r="H444" s="54">
        <f ca="1">DATEDIF(G444,TODAY(),"Y")</f>
        <v>3</v>
      </c>
      <c r="I444" s="170" t="str">
        <f>CHOOSE(MONTH(G444),"January","February","March","April","May","June","July","August","September","October","November","December")</f>
        <v>March</v>
      </c>
      <c r="J444" s="55"/>
      <c r="K444" s="56">
        <v>101160</v>
      </c>
      <c r="L444" s="169">
        <v>1</v>
      </c>
    </row>
    <row r="445" spans="1:12" x14ac:dyDescent="0.25">
      <c r="A445" s="164" t="s">
        <v>998</v>
      </c>
      <c r="B445" s="164" t="s">
        <v>705</v>
      </c>
      <c r="C445" s="174" t="s">
        <v>285</v>
      </c>
      <c r="D445" s="173">
        <v>2525227751</v>
      </c>
      <c r="E445" s="172">
        <v>145240921</v>
      </c>
      <c r="F445" s="164" t="s">
        <v>256</v>
      </c>
      <c r="G445" s="171">
        <v>40132</v>
      </c>
      <c r="H445" s="54">
        <f ca="1">DATEDIF(G445,TODAY(),"Y")</f>
        <v>6</v>
      </c>
      <c r="I445" s="170" t="str">
        <f>CHOOSE(MONTH(G445),"January","February","March","April","May","June","July","August","September","October","November","December")</f>
        <v>November</v>
      </c>
      <c r="J445" s="55" t="s">
        <v>267</v>
      </c>
      <c r="K445" s="56">
        <v>61188</v>
      </c>
      <c r="L445" s="169">
        <v>4</v>
      </c>
    </row>
    <row r="446" spans="1:12" x14ac:dyDescent="0.25">
      <c r="A446" s="164" t="s">
        <v>736</v>
      </c>
      <c r="B446" s="164" t="s">
        <v>705</v>
      </c>
      <c r="C446" s="174" t="s">
        <v>285</v>
      </c>
      <c r="D446" s="173">
        <v>2523575849</v>
      </c>
      <c r="E446" s="172">
        <v>365499498</v>
      </c>
      <c r="F446" s="164" t="s">
        <v>256</v>
      </c>
      <c r="G446" s="171">
        <v>39535</v>
      </c>
      <c r="H446" s="54">
        <f ca="1">DATEDIF(G446,TODAY(),"Y")</f>
        <v>8</v>
      </c>
      <c r="I446" s="170" t="str">
        <f>CHOOSE(MONTH(G446),"January","February","March","April","May","June","July","August","September","October","November","December")</f>
        <v>March</v>
      </c>
      <c r="J446" s="55" t="s">
        <v>257</v>
      </c>
      <c r="K446" s="56">
        <v>56472</v>
      </c>
      <c r="L446" s="169">
        <v>4</v>
      </c>
    </row>
    <row r="447" spans="1:12" x14ac:dyDescent="0.25">
      <c r="A447" s="164" t="s">
        <v>443</v>
      </c>
      <c r="B447" s="164" t="s">
        <v>705</v>
      </c>
      <c r="C447" s="174" t="s">
        <v>271</v>
      </c>
      <c r="D447" s="173">
        <v>2526920236</v>
      </c>
      <c r="E447" s="172">
        <v>803776506</v>
      </c>
      <c r="F447" s="164" t="s">
        <v>256</v>
      </c>
      <c r="G447" s="171">
        <v>36140</v>
      </c>
      <c r="H447" s="54">
        <f ca="1">DATEDIF(G447,TODAY(),"Y")</f>
        <v>17</v>
      </c>
      <c r="I447" s="170" t="str">
        <f>CHOOSE(MONTH(G447),"January","February","March","April","May","June","July","August","September","October","November","December")</f>
        <v>December</v>
      </c>
      <c r="J447" s="55" t="s">
        <v>262</v>
      </c>
      <c r="K447" s="56">
        <v>93540</v>
      </c>
      <c r="L447" s="169">
        <v>4</v>
      </c>
    </row>
    <row r="448" spans="1:12" x14ac:dyDescent="0.25">
      <c r="A448" s="164" t="s">
        <v>830</v>
      </c>
      <c r="B448" s="164" t="s">
        <v>705</v>
      </c>
      <c r="C448" s="174" t="s">
        <v>285</v>
      </c>
      <c r="D448" s="173">
        <v>9193957018</v>
      </c>
      <c r="E448" s="172">
        <v>881242432</v>
      </c>
      <c r="F448" s="164" t="s">
        <v>256</v>
      </c>
      <c r="G448" s="171">
        <v>34656</v>
      </c>
      <c r="H448" s="54">
        <f ca="1">DATEDIF(G448,TODAY(),"Y")</f>
        <v>21</v>
      </c>
      <c r="I448" s="170" t="str">
        <f>CHOOSE(MONTH(G448),"January","February","March","April","May","June","July","August","September","October","November","December")</f>
        <v>November</v>
      </c>
      <c r="J448" s="55" t="s">
        <v>262</v>
      </c>
      <c r="K448" s="56">
        <v>81612</v>
      </c>
      <c r="L448" s="169">
        <v>1</v>
      </c>
    </row>
    <row r="449" spans="1:12" x14ac:dyDescent="0.25">
      <c r="A449" s="164" t="s">
        <v>1001</v>
      </c>
      <c r="B449" s="164" t="s">
        <v>705</v>
      </c>
      <c r="C449" s="174" t="s">
        <v>251</v>
      </c>
      <c r="D449" s="173">
        <v>2528651774</v>
      </c>
      <c r="E449" s="172">
        <v>302854692</v>
      </c>
      <c r="F449" s="164" t="s">
        <v>261</v>
      </c>
      <c r="G449" s="171">
        <v>35345</v>
      </c>
      <c r="H449" s="54">
        <f ca="1">DATEDIF(G449,TODAY(),"Y")</f>
        <v>20</v>
      </c>
      <c r="I449" s="170" t="str">
        <f>CHOOSE(MONTH(G449),"January","February","March","April","May","June","July","August","September","October","November","December")</f>
        <v>October</v>
      </c>
      <c r="J449" s="55" t="s">
        <v>257</v>
      </c>
      <c r="K449" s="56">
        <v>16122</v>
      </c>
      <c r="L449" s="169">
        <v>1</v>
      </c>
    </row>
    <row r="450" spans="1:12" x14ac:dyDescent="0.25">
      <c r="A450" s="164" t="s">
        <v>1004</v>
      </c>
      <c r="B450" s="164" t="s">
        <v>705</v>
      </c>
      <c r="C450" s="174" t="s">
        <v>285</v>
      </c>
      <c r="D450" s="173">
        <v>2521711684</v>
      </c>
      <c r="E450" s="172">
        <v>248820119</v>
      </c>
      <c r="F450" s="164" t="s">
        <v>256</v>
      </c>
      <c r="G450" s="171">
        <v>36631</v>
      </c>
      <c r="H450" s="54">
        <f ca="1">DATEDIF(G450,TODAY(),"Y")</f>
        <v>16</v>
      </c>
      <c r="I450" s="170" t="str">
        <f>CHOOSE(MONTH(G450),"January","February","March","April","May","June","July","August","September","October","November","December")</f>
        <v>April</v>
      </c>
      <c r="J450" s="55" t="s">
        <v>257</v>
      </c>
      <c r="K450" s="56">
        <v>82224</v>
      </c>
      <c r="L450" s="169">
        <v>5</v>
      </c>
    </row>
    <row r="451" spans="1:12" x14ac:dyDescent="0.25">
      <c r="A451" s="164" t="s">
        <v>914</v>
      </c>
      <c r="B451" s="164" t="s">
        <v>705</v>
      </c>
      <c r="C451" s="174" t="s">
        <v>245</v>
      </c>
      <c r="D451" s="173">
        <v>9193640748</v>
      </c>
      <c r="E451" s="172">
        <v>869524136</v>
      </c>
      <c r="F451" s="164" t="s">
        <v>256</v>
      </c>
      <c r="G451" s="171">
        <v>36067</v>
      </c>
      <c r="H451" s="54">
        <f ca="1">DATEDIF(G451,TODAY(),"Y")</f>
        <v>18</v>
      </c>
      <c r="I451" s="170" t="str">
        <f>CHOOSE(MONTH(G451),"January","February","March","April","May","June","July","August","September","October","November","December")</f>
        <v>September</v>
      </c>
      <c r="J451" s="55" t="s">
        <v>283</v>
      </c>
      <c r="K451" s="56">
        <v>52092</v>
      </c>
      <c r="L451" s="169">
        <v>1</v>
      </c>
    </row>
    <row r="452" spans="1:12" x14ac:dyDescent="0.25">
      <c r="A452" s="164" t="s">
        <v>408</v>
      </c>
      <c r="B452" s="164" t="s">
        <v>705</v>
      </c>
      <c r="C452" s="174" t="s">
        <v>271</v>
      </c>
      <c r="D452" s="173">
        <v>9195520461</v>
      </c>
      <c r="E452" s="172">
        <v>816607187</v>
      </c>
      <c r="F452" s="164" t="s">
        <v>252</v>
      </c>
      <c r="G452" s="171">
        <v>41180</v>
      </c>
      <c r="H452" s="54">
        <f ca="1">DATEDIF(G452,TODAY(),"Y")</f>
        <v>4</v>
      </c>
      <c r="I452" s="170" t="str">
        <f>CHOOSE(MONTH(G452),"January","February","March","April","May","June","July","August","September","October","November","December")</f>
        <v>September</v>
      </c>
      <c r="J452" s="55"/>
      <c r="K452" s="56">
        <v>11016</v>
      </c>
      <c r="L452" s="169">
        <v>3</v>
      </c>
    </row>
    <row r="453" spans="1:12" x14ac:dyDescent="0.25">
      <c r="A453" s="164" t="s">
        <v>600</v>
      </c>
      <c r="B453" s="164" t="s">
        <v>705</v>
      </c>
      <c r="C453" s="174" t="s">
        <v>245</v>
      </c>
      <c r="D453" s="173">
        <v>2522881600</v>
      </c>
      <c r="E453" s="172">
        <v>847051774</v>
      </c>
      <c r="F453" s="164" t="s">
        <v>256</v>
      </c>
      <c r="G453" s="171">
        <v>40385</v>
      </c>
      <c r="H453" s="54">
        <f ca="1">DATEDIF(G453,TODAY(),"Y")</f>
        <v>6</v>
      </c>
      <c r="I453" s="170" t="str">
        <f>CHOOSE(MONTH(G453),"January","February","March","April","May","June","July","August","September","October","November","December")</f>
        <v>July</v>
      </c>
      <c r="J453" s="55" t="s">
        <v>276</v>
      </c>
      <c r="K453" s="56">
        <v>97056</v>
      </c>
      <c r="L453" s="169">
        <v>1</v>
      </c>
    </row>
    <row r="454" spans="1:12" x14ac:dyDescent="0.25">
      <c r="A454" s="175" t="s">
        <v>260</v>
      </c>
      <c r="B454" s="164" t="s">
        <v>705</v>
      </c>
      <c r="C454" s="174" t="s">
        <v>285</v>
      </c>
      <c r="D454" s="173">
        <v>9194629606</v>
      </c>
      <c r="E454" s="172">
        <v>619465100</v>
      </c>
      <c r="F454" s="164" t="s">
        <v>256</v>
      </c>
      <c r="G454" s="171">
        <v>39644</v>
      </c>
      <c r="H454" s="54">
        <f ca="1">DATEDIF(G454,TODAY(),"Y")</f>
        <v>8</v>
      </c>
      <c r="I454" s="170" t="str">
        <f>CHOOSE(MONTH(G454),"January","February","March","April","May","June","July","August","September","October","November","December")</f>
        <v>July</v>
      </c>
      <c r="J454" s="55" t="s">
        <v>262</v>
      </c>
      <c r="K454" s="56">
        <v>33072</v>
      </c>
      <c r="L454" s="169">
        <v>2</v>
      </c>
    </row>
    <row r="455" spans="1:12" x14ac:dyDescent="0.25">
      <c r="A455" s="164" t="s">
        <v>606</v>
      </c>
      <c r="B455" s="164" t="s">
        <v>705</v>
      </c>
      <c r="C455" s="174" t="s">
        <v>285</v>
      </c>
      <c r="D455" s="173">
        <v>2525780571</v>
      </c>
      <c r="E455" s="172">
        <v>210173249</v>
      </c>
      <c r="F455" s="164" t="s">
        <v>247</v>
      </c>
      <c r="G455" s="171">
        <v>34539</v>
      </c>
      <c r="H455" s="54">
        <f ca="1">DATEDIF(G455,TODAY(),"Y")</f>
        <v>22</v>
      </c>
      <c r="I455" s="170" t="str">
        <f>CHOOSE(MONTH(G455),"January","February","March","April","May","June","July","August","September","October","November","December")</f>
        <v>July</v>
      </c>
      <c r="J455" s="55"/>
      <c r="K455" s="56">
        <v>39180</v>
      </c>
      <c r="L455" s="169">
        <v>1</v>
      </c>
    </row>
    <row r="456" spans="1:12" x14ac:dyDescent="0.25">
      <c r="A456" s="164" t="s">
        <v>451</v>
      </c>
      <c r="B456" s="164" t="s">
        <v>705</v>
      </c>
      <c r="C456" s="174" t="s">
        <v>285</v>
      </c>
      <c r="D456" s="173">
        <v>2524618773</v>
      </c>
      <c r="E456" s="172">
        <v>555718765</v>
      </c>
      <c r="F456" s="164" t="s">
        <v>256</v>
      </c>
      <c r="G456" s="171">
        <v>40213</v>
      </c>
      <c r="H456" s="54">
        <f ca="1">DATEDIF(G456,TODAY(),"Y")</f>
        <v>6</v>
      </c>
      <c r="I456" s="170" t="str">
        <f>CHOOSE(MONTH(G456),"January","February","March","April","May","June","July","August","September","October","November","December")</f>
        <v>February</v>
      </c>
      <c r="J456" s="55" t="s">
        <v>257</v>
      </c>
      <c r="K456" s="56">
        <v>106620</v>
      </c>
      <c r="L456" s="169">
        <v>3</v>
      </c>
    </row>
    <row r="457" spans="1:12" x14ac:dyDescent="0.25">
      <c r="A457" s="164" t="s">
        <v>846</v>
      </c>
      <c r="B457" s="164" t="s">
        <v>705</v>
      </c>
      <c r="C457" s="174" t="s">
        <v>266</v>
      </c>
      <c r="D457" s="173">
        <v>9196012031</v>
      </c>
      <c r="E457" s="172">
        <v>851400058</v>
      </c>
      <c r="F457" s="164" t="s">
        <v>261</v>
      </c>
      <c r="G457" s="171">
        <v>41121</v>
      </c>
      <c r="H457" s="54">
        <f ca="1">DATEDIF(G457,TODAY(),"Y")</f>
        <v>4</v>
      </c>
      <c r="I457" s="170" t="str">
        <f>CHOOSE(MONTH(G457),"January","February","March","April","May","June","July","August","September","October","November","December")</f>
        <v>July</v>
      </c>
      <c r="J457" s="55" t="s">
        <v>257</v>
      </c>
      <c r="K457" s="56">
        <v>20310</v>
      </c>
      <c r="L457" s="169">
        <v>1</v>
      </c>
    </row>
    <row r="458" spans="1:12" x14ac:dyDescent="0.25">
      <c r="A458" s="164" t="s">
        <v>365</v>
      </c>
      <c r="B458" s="164" t="s">
        <v>705</v>
      </c>
      <c r="C458" s="174" t="s">
        <v>271</v>
      </c>
      <c r="D458" s="173">
        <v>9198561612</v>
      </c>
      <c r="E458" s="172">
        <v>150132247</v>
      </c>
      <c r="F458" s="164" t="s">
        <v>256</v>
      </c>
      <c r="G458" s="171">
        <v>34609</v>
      </c>
      <c r="H458" s="54">
        <f ca="1">DATEDIF(G458,TODAY(),"Y")</f>
        <v>22</v>
      </c>
      <c r="I458" s="170" t="str">
        <f>CHOOSE(MONTH(G458),"January","February","March","April","May","June","July","August","September","October","November","December")</f>
        <v>October</v>
      </c>
      <c r="J458" s="55" t="s">
        <v>276</v>
      </c>
      <c r="K458" s="56">
        <v>56292</v>
      </c>
      <c r="L458" s="169">
        <v>3</v>
      </c>
    </row>
    <row r="459" spans="1:12" x14ac:dyDescent="0.25">
      <c r="A459" s="164" t="s">
        <v>849</v>
      </c>
      <c r="B459" s="164" t="s">
        <v>705</v>
      </c>
      <c r="C459" s="174" t="s">
        <v>285</v>
      </c>
      <c r="D459" s="173">
        <v>9196132408</v>
      </c>
      <c r="E459" s="172">
        <v>474117484</v>
      </c>
      <c r="F459" s="164" t="s">
        <v>256</v>
      </c>
      <c r="G459" s="171">
        <v>34370</v>
      </c>
      <c r="H459" s="54">
        <f ca="1">DATEDIF(G459,TODAY(),"Y")</f>
        <v>22</v>
      </c>
      <c r="I459" s="170" t="str">
        <f>CHOOSE(MONTH(G459),"January","February","March","April","May","June","July","August","September","October","November","December")</f>
        <v>February</v>
      </c>
      <c r="J459" s="55" t="s">
        <v>257</v>
      </c>
      <c r="K459" s="56">
        <v>95724</v>
      </c>
      <c r="L459" s="169">
        <v>4</v>
      </c>
    </row>
    <row r="460" spans="1:12" x14ac:dyDescent="0.25">
      <c r="A460" s="164" t="s">
        <v>928</v>
      </c>
      <c r="B460" s="164" t="s">
        <v>705</v>
      </c>
      <c r="C460" s="174" t="s">
        <v>271</v>
      </c>
      <c r="D460" s="173">
        <v>9197430732</v>
      </c>
      <c r="E460" s="172">
        <v>948252103</v>
      </c>
      <c r="F460" s="164" t="s">
        <v>252</v>
      </c>
      <c r="G460" s="171">
        <v>37057</v>
      </c>
      <c r="H460" s="54">
        <f ca="1">DATEDIF(G460,TODAY(),"Y")</f>
        <v>15</v>
      </c>
      <c r="I460" s="170" t="str">
        <f>CHOOSE(MONTH(G460),"January","February","March","April","May","June","July","August","September","October","November","December")</f>
        <v>June</v>
      </c>
      <c r="J460" s="55"/>
      <c r="K460" s="56">
        <v>47717</v>
      </c>
      <c r="L460" s="169">
        <v>1</v>
      </c>
    </row>
    <row r="461" spans="1:12" x14ac:dyDescent="0.25">
      <c r="A461" s="164" t="s">
        <v>453</v>
      </c>
      <c r="B461" s="164" t="s">
        <v>705</v>
      </c>
      <c r="C461" s="174" t="s">
        <v>271</v>
      </c>
      <c r="D461" s="173">
        <v>2525981242</v>
      </c>
      <c r="E461" s="172">
        <v>934447306</v>
      </c>
      <c r="F461" s="164" t="s">
        <v>256</v>
      </c>
      <c r="G461" s="171">
        <v>34839</v>
      </c>
      <c r="H461" s="54">
        <f ca="1">DATEDIF(G461,TODAY(),"Y")</f>
        <v>21</v>
      </c>
      <c r="I461" s="170" t="str">
        <f>CHOOSE(MONTH(G461),"January","February","March","April","May","June","July","August","September","October","November","December")</f>
        <v>May</v>
      </c>
      <c r="J461" s="55" t="s">
        <v>283</v>
      </c>
      <c r="K461" s="56">
        <v>87636</v>
      </c>
      <c r="L461" s="169">
        <v>5</v>
      </c>
    </row>
    <row r="462" spans="1:12" x14ac:dyDescent="0.25">
      <c r="A462" s="164" t="s">
        <v>855</v>
      </c>
      <c r="B462" s="164" t="s">
        <v>750</v>
      </c>
      <c r="C462" s="174" t="s">
        <v>266</v>
      </c>
      <c r="D462" s="173">
        <v>9198472270</v>
      </c>
      <c r="E462" s="172">
        <v>834061135</v>
      </c>
      <c r="F462" s="164" t="s">
        <v>256</v>
      </c>
      <c r="G462" s="171">
        <v>34241</v>
      </c>
      <c r="H462" s="54">
        <f ca="1">DATEDIF(G462,TODAY(),"Y")</f>
        <v>23</v>
      </c>
      <c r="I462" s="170" t="str">
        <f>CHOOSE(MONTH(G462),"January","February","March","April","May","June","July","August","September","October","November","December")</f>
        <v>September</v>
      </c>
      <c r="J462" s="55" t="s">
        <v>267</v>
      </c>
      <c r="K462" s="56">
        <v>53472</v>
      </c>
      <c r="L462" s="169">
        <v>2</v>
      </c>
    </row>
    <row r="463" spans="1:12" x14ac:dyDescent="0.25">
      <c r="A463" s="164" t="s">
        <v>416</v>
      </c>
      <c r="B463" s="164" t="s">
        <v>750</v>
      </c>
      <c r="C463" s="174" t="s">
        <v>271</v>
      </c>
      <c r="D463" s="173">
        <v>2522456406</v>
      </c>
      <c r="E463" s="172">
        <v>444159297</v>
      </c>
      <c r="F463" s="164" t="s">
        <v>256</v>
      </c>
      <c r="G463" s="171">
        <v>34264</v>
      </c>
      <c r="H463" s="54">
        <f ca="1">DATEDIF(G463,TODAY(),"Y")</f>
        <v>23</v>
      </c>
      <c r="I463" s="170" t="str">
        <f>CHOOSE(MONTH(G463),"January","February","March","April","May","June","July","August","September","October","November","December")</f>
        <v>October</v>
      </c>
      <c r="J463" s="55" t="s">
        <v>257</v>
      </c>
      <c r="K463" s="56">
        <v>97836</v>
      </c>
      <c r="L463" s="169">
        <v>5</v>
      </c>
    </row>
    <row r="464" spans="1:12" x14ac:dyDescent="0.25">
      <c r="A464" s="164" t="s">
        <v>937</v>
      </c>
      <c r="B464" s="164" t="s">
        <v>750</v>
      </c>
      <c r="C464" s="174" t="s">
        <v>271</v>
      </c>
      <c r="D464" s="173">
        <v>9191876990</v>
      </c>
      <c r="E464" s="172">
        <v>904790184</v>
      </c>
      <c r="F464" s="164" t="s">
        <v>256</v>
      </c>
      <c r="G464" s="171">
        <v>34188</v>
      </c>
      <c r="H464" s="54">
        <f ca="1">DATEDIF(G464,TODAY(),"Y")</f>
        <v>23</v>
      </c>
      <c r="I464" s="170" t="str">
        <f>CHOOSE(MONTH(G464),"January","February","March","April","May","June","July","August","September","October","November","December")</f>
        <v>August</v>
      </c>
      <c r="J464" s="55" t="s">
        <v>283</v>
      </c>
      <c r="K464" s="56">
        <v>93264</v>
      </c>
      <c r="L464" s="169">
        <v>3</v>
      </c>
    </row>
    <row r="465" spans="1:12" x14ac:dyDescent="0.25">
      <c r="A465" s="164" t="s">
        <v>631</v>
      </c>
      <c r="B465" s="164" t="s">
        <v>750</v>
      </c>
      <c r="C465" s="174" t="s">
        <v>251</v>
      </c>
      <c r="D465" s="173">
        <v>9195012757</v>
      </c>
      <c r="E465" s="172">
        <v>264960848</v>
      </c>
      <c r="F465" s="164" t="s">
        <v>247</v>
      </c>
      <c r="G465" s="171">
        <v>34014</v>
      </c>
      <c r="H465" s="54">
        <f ca="1">DATEDIF(G465,TODAY(),"Y")</f>
        <v>23</v>
      </c>
      <c r="I465" s="170" t="str">
        <f>CHOOSE(MONTH(G465),"January","February","March","April","May","June","July","August","September","October","November","December")</f>
        <v>February</v>
      </c>
      <c r="J465" s="55"/>
      <c r="K465" s="56">
        <v>58884</v>
      </c>
      <c r="L465" s="169">
        <v>3</v>
      </c>
    </row>
    <row r="466" spans="1:12" x14ac:dyDescent="0.25">
      <c r="A466" s="164" t="s">
        <v>317</v>
      </c>
      <c r="B466" s="164" t="s">
        <v>750</v>
      </c>
      <c r="C466" s="174" t="s">
        <v>271</v>
      </c>
      <c r="D466" s="173">
        <v>2522581491</v>
      </c>
      <c r="E466" s="172">
        <v>763518183</v>
      </c>
      <c r="F466" s="164" t="s">
        <v>256</v>
      </c>
      <c r="G466" s="171">
        <v>34168</v>
      </c>
      <c r="H466" s="54">
        <f ca="1">DATEDIF(G466,TODAY(),"Y")</f>
        <v>23</v>
      </c>
      <c r="I466" s="170" t="str">
        <f>CHOOSE(MONTH(G466),"January","February","March","April","May","June","July","August","September","October","November","December")</f>
        <v>July</v>
      </c>
      <c r="J466" s="55" t="s">
        <v>257</v>
      </c>
      <c r="K466" s="56">
        <v>83280</v>
      </c>
      <c r="L466" s="169">
        <v>5</v>
      </c>
    </row>
    <row r="467" spans="1:12" x14ac:dyDescent="0.25">
      <c r="A467" s="164" t="s">
        <v>956</v>
      </c>
      <c r="B467" s="164" t="s">
        <v>750</v>
      </c>
      <c r="C467" s="174" t="s">
        <v>285</v>
      </c>
      <c r="D467" s="173">
        <v>9195506190</v>
      </c>
      <c r="E467" s="172">
        <v>852430023</v>
      </c>
      <c r="F467" s="164" t="s">
        <v>261</v>
      </c>
      <c r="G467" s="171">
        <v>33840</v>
      </c>
      <c r="H467" s="54">
        <f ca="1">DATEDIF(G467,TODAY(),"Y")</f>
        <v>24</v>
      </c>
      <c r="I467" s="170" t="str">
        <f>CHOOSE(MONTH(G467),"January","February","March","April","May","June","July","August","September","October","November","December")</f>
        <v>August</v>
      </c>
      <c r="J467" s="55" t="s">
        <v>267</v>
      </c>
      <c r="K467" s="56">
        <v>29778</v>
      </c>
      <c r="L467" s="169">
        <v>1</v>
      </c>
    </row>
    <row r="468" spans="1:12" x14ac:dyDescent="0.25">
      <c r="A468" s="164" t="s">
        <v>957</v>
      </c>
      <c r="B468" s="164" t="s">
        <v>750</v>
      </c>
      <c r="C468" s="174" t="s">
        <v>271</v>
      </c>
      <c r="D468" s="173">
        <v>2525536623</v>
      </c>
      <c r="E468" s="172">
        <v>134557291</v>
      </c>
      <c r="F468" s="164" t="s">
        <v>256</v>
      </c>
      <c r="G468" s="171">
        <v>33841</v>
      </c>
      <c r="H468" s="54">
        <f ca="1">DATEDIF(G468,TODAY(),"Y")</f>
        <v>24</v>
      </c>
      <c r="I468" s="170" t="str">
        <f>CHOOSE(MONTH(G468),"January","February","March","April","May","June","July","August","September","October","November","December")</f>
        <v>August</v>
      </c>
      <c r="J468" s="55" t="s">
        <v>257</v>
      </c>
      <c r="K468" s="56">
        <v>39120</v>
      </c>
      <c r="L468" s="169">
        <v>5</v>
      </c>
    </row>
    <row r="469" spans="1:12" x14ac:dyDescent="0.25">
      <c r="A469" s="164" t="s">
        <v>376</v>
      </c>
      <c r="B469" s="164" t="s">
        <v>750</v>
      </c>
      <c r="C469" s="174" t="s">
        <v>245</v>
      </c>
      <c r="D469" s="173">
        <v>2523766803</v>
      </c>
      <c r="E469" s="172">
        <v>360904659</v>
      </c>
      <c r="F469" s="164" t="s">
        <v>256</v>
      </c>
      <c r="G469" s="171">
        <v>34316</v>
      </c>
      <c r="H469" s="54">
        <f ca="1">DATEDIF(G469,TODAY(),"Y")</f>
        <v>22</v>
      </c>
      <c r="I469" s="170" t="str">
        <f>CHOOSE(MONTH(G469),"January","February","March","April","May","June","July","August","September","October","November","December")</f>
        <v>December</v>
      </c>
      <c r="J469" s="55" t="s">
        <v>283</v>
      </c>
      <c r="K469" s="56">
        <v>53544</v>
      </c>
      <c r="L469" s="169">
        <v>5</v>
      </c>
    </row>
    <row r="470" spans="1:12" x14ac:dyDescent="0.25">
      <c r="A470" s="164" t="s">
        <v>432</v>
      </c>
      <c r="B470" s="164" t="s">
        <v>750</v>
      </c>
      <c r="C470" s="174" t="s">
        <v>245</v>
      </c>
      <c r="D470" s="173">
        <v>2528385730</v>
      </c>
      <c r="E470" s="172">
        <v>671360508</v>
      </c>
      <c r="F470" s="164" t="s">
        <v>261</v>
      </c>
      <c r="G470" s="171">
        <v>33888</v>
      </c>
      <c r="H470" s="54">
        <f ca="1">DATEDIF(G470,TODAY(),"Y")</f>
        <v>24</v>
      </c>
      <c r="I470" s="170" t="str">
        <f>CHOOSE(MONTH(G470),"January","February","March","April","May","June","July","August","September","October","November","December")</f>
        <v>October</v>
      </c>
      <c r="J470" s="55" t="s">
        <v>262</v>
      </c>
      <c r="K470" s="56">
        <v>47544</v>
      </c>
      <c r="L470" s="169">
        <v>5</v>
      </c>
    </row>
    <row r="471" spans="1:12" x14ac:dyDescent="0.25">
      <c r="A471" s="164" t="s">
        <v>433</v>
      </c>
      <c r="B471" s="164" t="s">
        <v>750</v>
      </c>
      <c r="C471" s="174" t="s">
        <v>285</v>
      </c>
      <c r="D471" s="173">
        <v>9195990139</v>
      </c>
      <c r="E471" s="172">
        <v>292693795</v>
      </c>
      <c r="F471" s="164" t="s">
        <v>256</v>
      </c>
      <c r="G471" s="171">
        <v>34008</v>
      </c>
      <c r="H471" s="54">
        <f ca="1">DATEDIF(G471,TODAY(),"Y")</f>
        <v>23</v>
      </c>
      <c r="I471" s="170" t="str">
        <f>CHOOSE(MONTH(G471),"January","February","March","April","May","June","July","August","September","October","November","December")</f>
        <v>February</v>
      </c>
      <c r="J471" s="55" t="s">
        <v>257</v>
      </c>
      <c r="K471" s="56">
        <v>105540</v>
      </c>
      <c r="L471" s="169">
        <v>4</v>
      </c>
    </row>
    <row r="472" spans="1:12" x14ac:dyDescent="0.25">
      <c r="A472" s="164" t="s">
        <v>690</v>
      </c>
      <c r="B472" s="164" t="s">
        <v>750</v>
      </c>
      <c r="C472" s="174" t="s">
        <v>285</v>
      </c>
      <c r="D472" s="173">
        <v>9196733291</v>
      </c>
      <c r="E472" s="172">
        <v>174483231</v>
      </c>
      <c r="F472" s="164" t="s">
        <v>256</v>
      </c>
      <c r="G472" s="171">
        <v>33914</v>
      </c>
      <c r="H472" s="54">
        <f ca="1">DATEDIF(G472,TODAY(),"Y")</f>
        <v>24</v>
      </c>
      <c r="I472" s="170" t="str">
        <f>CHOOSE(MONTH(G472),"January","February","March","April","May","June","July","August","September","October","November","December")</f>
        <v>November</v>
      </c>
      <c r="J472" s="55" t="s">
        <v>257</v>
      </c>
      <c r="K472" s="56">
        <v>49128</v>
      </c>
      <c r="L472" s="169">
        <v>3</v>
      </c>
    </row>
    <row r="473" spans="1:12" x14ac:dyDescent="0.25">
      <c r="A473" s="164" t="s">
        <v>733</v>
      </c>
      <c r="B473" s="164" t="s">
        <v>750</v>
      </c>
      <c r="C473" s="174" t="s">
        <v>285</v>
      </c>
      <c r="D473" s="173">
        <v>9197429525</v>
      </c>
      <c r="E473" s="172">
        <v>219740602</v>
      </c>
      <c r="F473" s="164" t="s">
        <v>261</v>
      </c>
      <c r="G473" s="171">
        <v>34077</v>
      </c>
      <c r="H473" s="54">
        <f ca="1">DATEDIF(G473,TODAY(),"Y")</f>
        <v>23</v>
      </c>
      <c r="I473" s="170" t="str">
        <f>CHOOSE(MONTH(G473),"January","February","March","April","May","June","July","August","September","October","November","December")</f>
        <v>April</v>
      </c>
      <c r="J473" s="55" t="s">
        <v>276</v>
      </c>
      <c r="K473" s="56">
        <v>19218</v>
      </c>
      <c r="L473" s="169">
        <v>3</v>
      </c>
    </row>
    <row r="474" spans="1:12" x14ac:dyDescent="0.25">
      <c r="A474" s="164" t="s">
        <v>580</v>
      </c>
      <c r="B474" s="164" t="s">
        <v>750</v>
      </c>
      <c r="C474" s="174" t="s">
        <v>271</v>
      </c>
      <c r="D474" s="173">
        <v>9196100410</v>
      </c>
      <c r="E474" s="172">
        <v>967826310</v>
      </c>
      <c r="F474" s="164" t="s">
        <v>256</v>
      </c>
      <c r="G474" s="171">
        <v>34048</v>
      </c>
      <c r="H474" s="54">
        <f ca="1">DATEDIF(G474,TODAY(),"Y")</f>
        <v>23</v>
      </c>
      <c r="I474" s="170" t="str">
        <f>CHOOSE(MONTH(G474),"January","February","March","April","May","June","July","August","September","October","November","December")</f>
        <v>March</v>
      </c>
      <c r="J474" s="55" t="s">
        <v>276</v>
      </c>
      <c r="K474" s="56">
        <v>42384</v>
      </c>
      <c r="L474" s="169">
        <v>3</v>
      </c>
    </row>
    <row r="475" spans="1:12" x14ac:dyDescent="0.25">
      <c r="A475" s="164" t="s">
        <v>415</v>
      </c>
      <c r="B475" s="164" t="s">
        <v>750</v>
      </c>
      <c r="C475" s="174" t="s">
        <v>285</v>
      </c>
      <c r="D475" s="173">
        <v>9197904981</v>
      </c>
      <c r="E475" s="172">
        <v>285295419</v>
      </c>
      <c r="F475" s="164" t="s">
        <v>252</v>
      </c>
      <c r="G475" s="171">
        <v>33886</v>
      </c>
      <c r="H475" s="54">
        <f ca="1">DATEDIF(G475,TODAY(),"Y")</f>
        <v>24</v>
      </c>
      <c r="I475" s="170" t="str">
        <f>CHOOSE(MONTH(G475),"January","February","March","April","May","June","July","August","September","October","November","December")</f>
        <v>October</v>
      </c>
      <c r="J475" s="55"/>
      <c r="K475" s="56">
        <v>39878</v>
      </c>
      <c r="L475" s="169">
        <v>4</v>
      </c>
    </row>
    <row r="476" spans="1:12" x14ac:dyDescent="0.25">
      <c r="A476" s="164" t="s">
        <v>667</v>
      </c>
      <c r="B476" s="164" t="s">
        <v>750</v>
      </c>
      <c r="C476" s="174" t="s">
        <v>266</v>
      </c>
      <c r="D476" s="173">
        <v>2526104400</v>
      </c>
      <c r="E476" s="172">
        <v>710460589</v>
      </c>
      <c r="F476" s="164" t="s">
        <v>256</v>
      </c>
      <c r="G476" s="171">
        <v>33907</v>
      </c>
      <c r="H476" s="54">
        <f ca="1">DATEDIF(G476,TODAY(),"Y")</f>
        <v>24</v>
      </c>
      <c r="I476" s="170" t="str">
        <f>CHOOSE(MONTH(G476),"January","February","March","April","May","June","July","August","September","October","November","December")</f>
        <v>October</v>
      </c>
      <c r="J476" s="55" t="s">
        <v>283</v>
      </c>
      <c r="K476" s="56">
        <v>51732</v>
      </c>
      <c r="L476" s="169">
        <v>2</v>
      </c>
    </row>
    <row r="477" spans="1:12" x14ac:dyDescent="0.25">
      <c r="A477" s="164" t="s">
        <v>765</v>
      </c>
      <c r="B477" s="164" t="s">
        <v>750</v>
      </c>
      <c r="C477" s="174" t="s">
        <v>285</v>
      </c>
      <c r="D477" s="176">
        <v>2523355100</v>
      </c>
      <c r="E477" s="172">
        <v>198564686</v>
      </c>
      <c r="F477" s="164" t="s">
        <v>256</v>
      </c>
      <c r="G477" s="171">
        <v>33974</v>
      </c>
      <c r="H477" s="54">
        <f ca="1">DATEDIF(G477,TODAY(),"Y")</f>
        <v>23</v>
      </c>
      <c r="I477" s="170" t="str">
        <f>CHOOSE(MONTH(G477),"January","February","March","April","May","June","July","August","September","October","November","December")</f>
        <v>January</v>
      </c>
      <c r="J477" s="55" t="s">
        <v>257</v>
      </c>
      <c r="K477" s="56">
        <v>86076</v>
      </c>
      <c r="L477" s="169">
        <v>1</v>
      </c>
    </row>
    <row r="478" spans="1:12" x14ac:dyDescent="0.25">
      <c r="A478" s="164" t="s">
        <v>708</v>
      </c>
      <c r="B478" s="164" t="s">
        <v>767</v>
      </c>
      <c r="C478" s="174" t="s">
        <v>245</v>
      </c>
      <c r="D478" s="173">
        <v>2527194901</v>
      </c>
      <c r="E478" s="172">
        <v>484442635</v>
      </c>
      <c r="F478" s="164" t="s">
        <v>247</v>
      </c>
      <c r="G478" s="171">
        <v>33895</v>
      </c>
      <c r="H478" s="54">
        <f ca="1">DATEDIF(G478,TODAY(),"Y")</f>
        <v>24</v>
      </c>
      <c r="I478" s="170" t="str">
        <f>CHOOSE(MONTH(G478),"January","February","March","April","May","June","July","August","September","October","November","December")</f>
        <v>October</v>
      </c>
      <c r="J478" s="55"/>
      <c r="K478" s="56">
        <v>27624</v>
      </c>
      <c r="L478" s="169">
        <v>4</v>
      </c>
    </row>
    <row r="479" spans="1:12" x14ac:dyDescent="0.25">
      <c r="A479" s="164" t="s">
        <v>774</v>
      </c>
      <c r="B479" s="164" t="s">
        <v>767</v>
      </c>
      <c r="C479" s="174" t="s">
        <v>285</v>
      </c>
      <c r="D479" s="173">
        <v>2523294956</v>
      </c>
      <c r="E479" s="172">
        <v>933883118</v>
      </c>
      <c r="F479" s="164" t="s">
        <v>247</v>
      </c>
      <c r="G479" s="171">
        <v>35386</v>
      </c>
      <c r="H479" s="54">
        <f ca="1">DATEDIF(G479,TODAY(),"Y")</f>
        <v>19</v>
      </c>
      <c r="I479" s="170" t="str">
        <f>CHOOSE(MONTH(G479),"January","February","March","April","May","June","July","August","September","October","November","December")</f>
        <v>November</v>
      </c>
      <c r="J479" s="55"/>
      <c r="K479" s="56">
        <v>103176</v>
      </c>
      <c r="L479" s="169">
        <v>2</v>
      </c>
    </row>
    <row r="480" spans="1:12" x14ac:dyDescent="0.25">
      <c r="A480" s="164" t="s">
        <v>933</v>
      </c>
      <c r="B480" s="164" t="s">
        <v>767</v>
      </c>
      <c r="C480" s="174" t="s">
        <v>285</v>
      </c>
      <c r="D480" s="173">
        <v>9198591986</v>
      </c>
      <c r="E480" s="172">
        <v>828395582</v>
      </c>
      <c r="F480" s="164" t="s">
        <v>256</v>
      </c>
      <c r="G480" s="171">
        <v>34301</v>
      </c>
      <c r="H480" s="54">
        <f ca="1">DATEDIF(G480,TODAY(),"Y")</f>
        <v>22</v>
      </c>
      <c r="I480" s="170" t="str">
        <f>CHOOSE(MONTH(G480),"January","February","March","April","May","June","July","August","September","October","November","December")</f>
        <v>November</v>
      </c>
      <c r="J480" s="55" t="s">
        <v>276</v>
      </c>
      <c r="K480" s="56">
        <v>86016</v>
      </c>
      <c r="L480" s="169">
        <v>4</v>
      </c>
    </row>
    <row r="481" spans="1:12" x14ac:dyDescent="0.25">
      <c r="A481" s="164" t="s">
        <v>455</v>
      </c>
      <c r="B481" s="164" t="s">
        <v>767</v>
      </c>
      <c r="C481" s="174" t="s">
        <v>245</v>
      </c>
      <c r="D481" s="173">
        <v>9197179128</v>
      </c>
      <c r="E481" s="172">
        <v>151277827</v>
      </c>
      <c r="F481" s="164" t="s">
        <v>256</v>
      </c>
      <c r="G481" s="171">
        <v>40627</v>
      </c>
      <c r="H481" s="54">
        <f ca="1">DATEDIF(G481,TODAY(),"Y")</f>
        <v>5</v>
      </c>
      <c r="I481" s="170" t="str">
        <f>CHOOSE(MONTH(G481),"January","February","March","April","May","June","July","August","September","October","November","December")</f>
        <v>March</v>
      </c>
      <c r="J481" s="55" t="s">
        <v>257</v>
      </c>
      <c r="K481" s="56">
        <v>29748</v>
      </c>
      <c r="L481" s="169">
        <v>3</v>
      </c>
    </row>
    <row r="482" spans="1:12" x14ac:dyDescent="0.25">
      <c r="A482" s="164" t="s">
        <v>776</v>
      </c>
      <c r="B482" s="164" t="s">
        <v>767</v>
      </c>
      <c r="C482" s="174" t="s">
        <v>251</v>
      </c>
      <c r="D482" s="173">
        <v>2522939413</v>
      </c>
      <c r="E482" s="172">
        <v>265323292</v>
      </c>
      <c r="F482" s="164" t="s">
        <v>256</v>
      </c>
      <c r="G482" s="171">
        <v>36864</v>
      </c>
      <c r="H482" s="54">
        <f ca="1">DATEDIF(G482,TODAY(),"Y")</f>
        <v>15</v>
      </c>
      <c r="I482" s="170" t="str">
        <f>CHOOSE(MONTH(G482),"January","February","March","April","May","June","July","August","September","October","November","December")</f>
        <v>December</v>
      </c>
      <c r="J482" s="55" t="s">
        <v>283</v>
      </c>
      <c r="K482" s="56">
        <v>54000</v>
      </c>
      <c r="L482" s="169">
        <v>4</v>
      </c>
    </row>
    <row r="483" spans="1:12" x14ac:dyDescent="0.25">
      <c r="A483" s="164" t="s">
        <v>780</v>
      </c>
      <c r="B483" s="164" t="s">
        <v>767</v>
      </c>
      <c r="C483" s="174" t="s">
        <v>280</v>
      </c>
      <c r="D483" s="173">
        <v>2526555049</v>
      </c>
      <c r="E483" s="172">
        <v>369210573</v>
      </c>
      <c r="F483" s="164" t="s">
        <v>261</v>
      </c>
      <c r="G483" s="171">
        <v>36945</v>
      </c>
      <c r="H483" s="54">
        <f ca="1">DATEDIF(G483,TODAY(),"Y")</f>
        <v>15</v>
      </c>
      <c r="I483" s="170" t="str">
        <f>CHOOSE(MONTH(G483),"January","February","March","April","May","June","July","August","September","October","November","December")</f>
        <v>February</v>
      </c>
      <c r="J483" s="55" t="s">
        <v>283</v>
      </c>
      <c r="K483" s="56">
        <v>26970</v>
      </c>
      <c r="L483" s="169">
        <v>4</v>
      </c>
    </row>
    <row r="484" spans="1:12" x14ac:dyDescent="0.25">
      <c r="A484" s="164" t="s">
        <v>868</v>
      </c>
      <c r="B484" s="164" t="s">
        <v>767</v>
      </c>
      <c r="C484" s="174" t="s">
        <v>285</v>
      </c>
      <c r="D484" s="173">
        <v>2521220758</v>
      </c>
      <c r="E484" s="172">
        <v>349174221</v>
      </c>
      <c r="F484" s="164" t="s">
        <v>261</v>
      </c>
      <c r="G484" s="171">
        <v>36812</v>
      </c>
      <c r="H484" s="54">
        <f ca="1">DATEDIF(G484,TODAY(),"Y")</f>
        <v>16</v>
      </c>
      <c r="I484" s="170" t="str">
        <f>CHOOSE(MONTH(G484),"January","February","March","April","May","June","July","August","September","October","November","December")</f>
        <v>October</v>
      </c>
      <c r="J484" s="55" t="s">
        <v>262</v>
      </c>
      <c r="K484" s="56">
        <v>54900</v>
      </c>
      <c r="L484" s="169">
        <v>5</v>
      </c>
    </row>
    <row r="485" spans="1:12" x14ac:dyDescent="0.25">
      <c r="A485" s="164" t="s">
        <v>713</v>
      </c>
      <c r="B485" s="164" t="s">
        <v>767</v>
      </c>
      <c r="C485" s="174" t="s">
        <v>285</v>
      </c>
      <c r="D485" s="173">
        <v>2523324762</v>
      </c>
      <c r="E485" s="172">
        <v>556327593</v>
      </c>
      <c r="F485" s="164" t="s">
        <v>247</v>
      </c>
      <c r="G485" s="171">
        <v>36029</v>
      </c>
      <c r="H485" s="54">
        <f ca="1">DATEDIF(G485,TODAY(),"Y")</f>
        <v>18</v>
      </c>
      <c r="I485" s="170" t="str">
        <f>CHOOSE(MONTH(G485),"January","February","March","April","May","June","July","August","September","October","November","December")</f>
        <v>August</v>
      </c>
      <c r="J485" s="55"/>
      <c r="K485" s="56">
        <v>72084</v>
      </c>
      <c r="L485" s="169">
        <v>2</v>
      </c>
    </row>
    <row r="486" spans="1:12" x14ac:dyDescent="0.25">
      <c r="A486" s="164" t="s">
        <v>786</v>
      </c>
      <c r="B486" s="164" t="s">
        <v>767</v>
      </c>
      <c r="C486" s="174" t="s">
        <v>285</v>
      </c>
      <c r="D486" s="173">
        <v>2526427045</v>
      </c>
      <c r="E486" s="172">
        <v>160662505</v>
      </c>
      <c r="F486" s="164" t="s">
        <v>247</v>
      </c>
      <c r="G486" s="171">
        <v>38254</v>
      </c>
      <c r="H486" s="54">
        <f ca="1">DATEDIF(G486,TODAY(),"Y")</f>
        <v>12</v>
      </c>
      <c r="I486" s="170" t="str">
        <f>CHOOSE(MONTH(G486),"January","February","March","April","May","June","July","August","September","October","November","December")</f>
        <v>September</v>
      </c>
      <c r="J486" s="55"/>
      <c r="K486" s="56">
        <v>73896</v>
      </c>
      <c r="L486" s="169">
        <v>3</v>
      </c>
    </row>
    <row r="487" spans="1:12" x14ac:dyDescent="0.25">
      <c r="A487" s="164" t="s">
        <v>497</v>
      </c>
      <c r="B487" s="164" t="s">
        <v>767</v>
      </c>
      <c r="C487" s="174" t="s">
        <v>266</v>
      </c>
      <c r="D487" s="173">
        <v>2524045531</v>
      </c>
      <c r="E487" s="172">
        <v>239847790</v>
      </c>
      <c r="F487" s="164" t="s">
        <v>247</v>
      </c>
      <c r="G487" s="171">
        <v>37103</v>
      </c>
      <c r="H487" s="54">
        <f ca="1">DATEDIF(G487,TODAY(),"Y")</f>
        <v>15</v>
      </c>
      <c r="I487" s="170" t="str">
        <f>CHOOSE(MONTH(G487),"January","February","March","April","May","June","July","August","September","October","November","December")</f>
        <v>July</v>
      </c>
      <c r="J487" s="55"/>
      <c r="K487" s="56">
        <v>85560</v>
      </c>
      <c r="L487" s="169">
        <v>5</v>
      </c>
    </row>
    <row r="488" spans="1:12" x14ac:dyDescent="0.25">
      <c r="A488" s="164" t="s">
        <v>500</v>
      </c>
      <c r="B488" s="164" t="s">
        <v>767</v>
      </c>
      <c r="C488" s="174" t="s">
        <v>271</v>
      </c>
      <c r="D488" s="173">
        <v>2521544288</v>
      </c>
      <c r="E488" s="172">
        <v>554029540</v>
      </c>
      <c r="F488" s="164" t="s">
        <v>247</v>
      </c>
      <c r="G488" s="171">
        <v>33962</v>
      </c>
      <c r="H488" s="54">
        <f ca="1">DATEDIF(G488,TODAY(),"Y")</f>
        <v>23</v>
      </c>
      <c r="I488" s="170" t="str">
        <f>CHOOSE(MONTH(G488),"January","February","March","April","May","June","July","August","September","October","November","December")</f>
        <v>December</v>
      </c>
      <c r="J488" s="55"/>
      <c r="K488" s="56">
        <v>70380</v>
      </c>
      <c r="L488" s="169">
        <v>4</v>
      </c>
    </row>
    <row r="489" spans="1:12" x14ac:dyDescent="0.25">
      <c r="A489" s="164" t="s">
        <v>393</v>
      </c>
      <c r="B489" s="164" t="s">
        <v>767</v>
      </c>
      <c r="C489" s="174" t="s">
        <v>245</v>
      </c>
      <c r="D489" s="173">
        <v>2522814530</v>
      </c>
      <c r="E489" s="172">
        <v>217968415</v>
      </c>
      <c r="F489" s="164" t="s">
        <v>256</v>
      </c>
      <c r="G489" s="171">
        <v>36549</v>
      </c>
      <c r="H489" s="54">
        <f ca="1">DATEDIF(G489,TODAY(),"Y")</f>
        <v>16</v>
      </c>
      <c r="I489" s="170" t="str">
        <f>CHOOSE(MONTH(G489),"January","February","March","April","May","June","July","August","September","October","November","December")</f>
        <v>January</v>
      </c>
      <c r="J489" s="55" t="s">
        <v>267</v>
      </c>
      <c r="K489" s="56">
        <v>27444</v>
      </c>
      <c r="L489" s="169">
        <v>3</v>
      </c>
    </row>
    <row r="490" spans="1:12" x14ac:dyDescent="0.25">
      <c r="A490" s="164" t="s">
        <v>942</v>
      </c>
      <c r="B490" s="164" t="s">
        <v>767</v>
      </c>
      <c r="C490" s="174" t="s">
        <v>280</v>
      </c>
      <c r="D490" s="173">
        <v>2522604602</v>
      </c>
      <c r="E490" s="172">
        <v>451159170</v>
      </c>
      <c r="F490" s="164" t="s">
        <v>261</v>
      </c>
      <c r="G490" s="171">
        <v>36554</v>
      </c>
      <c r="H490" s="54">
        <f ca="1">DATEDIF(G490,TODAY(),"Y")</f>
        <v>16</v>
      </c>
      <c r="I490" s="170" t="str">
        <f>CHOOSE(MONTH(G490),"January","February","March","April","May","June","July","August","September","October","November","December")</f>
        <v>January</v>
      </c>
      <c r="J490" s="55" t="s">
        <v>257</v>
      </c>
      <c r="K490" s="56">
        <v>37446</v>
      </c>
      <c r="L490" s="169">
        <v>2</v>
      </c>
    </row>
    <row r="491" spans="1:12" x14ac:dyDescent="0.25">
      <c r="A491" s="164" t="s">
        <v>944</v>
      </c>
      <c r="B491" s="164" t="s">
        <v>767</v>
      </c>
      <c r="C491" s="174" t="s">
        <v>245</v>
      </c>
      <c r="D491" s="173">
        <v>2527925201</v>
      </c>
      <c r="E491" s="172">
        <v>502200672</v>
      </c>
      <c r="F491" s="164" t="s">
        <v>247</v>
      </c>
      <c r="G491" s="171">
        <v>41138</v>
      </c>
      <c r="H491" s="54">
        <f ca="1">DATEDIF(G491,TODAY(),"Y")</f>
        <v>4</v>
      </c>
      <c r="I491" s="170" t="str">
        <f>CHOOSE(MONTH(G491),"January","February","March","April","May","June","July","August","September","October","November","December")</f>
        <v>August</v>
      </c>
      <c r="J491" s="55"/>
      <c r="K491" s="56">
        <v>69216</v>
      </c>
      <c r="L491" s="169">
        <v>4</v>
      </c>
    </row>
    <row r="492" spans="1:12" x14ac:dyDescent="0.25">
      <c r="A492" s="164" t="s">
        <v>1026</v>
      </c>
      <c r="B492" s="164" t="s">
        <v>767</v>
      </c>
      <c r="C492" s="174" t="s">
        <v>245</v>
      </c>
      <c r="D492" s="173">
        <v>2521230519</v>
      </c>
      <c r="E492" s="172">
        <v>643979374</v>
      </c>
      <c r="F492" s="164" t="s">
        <v>247</v>
      </c>
      <c r="G492" s="171">
        <v>36269</v>
      </c>
      <c r="H492" s="54">
        <f ca="1">DATEDIF(G492,TODAY(),"Y")</f>
        <v>17</v>
      </c>
      <c r="I492" s="170" t="str">
        <f>CHOOSE(MONTH(G492),"January","February","March","April","May","June","July","August","September","October","November","December")</f>
        <v>April</v>
      </c>
      <c r="J492" s="55"/>
      <c r="K492" s="56">
        <v>59436</v>
      </c>
      <c r="L492" s="169">
        <v>4</v>
      </c>
    </row>
    <row r="493" spans="1:12" x14ac:dyDescent="0.25">
      <c r="A493" s="164" t="s">
        <v>875</v>
      </c>
      <c r="B493" s="164" t="s">
        <v>767</v>
      </c>
      <c r="C493" s="174" t="s">
        <v>245</v>
      </c>
      <c r="D493" s="173">
        <v>9197188067</v>
      </c>
      <c r="E493" s="172">
        <v>476243591</v>
      </c>
      <c r="F493" s="164" t="s">
        <v>256</v>
      </c>
      <c r="G493" s="171">
        <v>35717</v>
      </c>
      <c r="H493" s="54">
        <f ca="1">DATEDIF(G493,TODAY(),"Y")</f>
        <v>19</v>
      </c>
      <c r="I493" s="170" t="str">
        <f>CHOOSE(MONTH(G493),"January","February","March","April","May","June","July","August","September","October","November","December")</f>
        <v>October</v>
      </c>
      <c r="J493" s="55" t="s">
        <v>257</v>
      </c>
      <c r="K493" s="56">
        <v>60684</v>
      </c>
      <c r="L493" s="169">
        <v>4</v>
      </c>
    </row>
    <row r="494" spans="1:12" x14ac:dyDescent="0.25">
      <c r="A494" s="175" t="s">
        <v>250</v>
      </c>
      <c r="B494" s="164" t="s">
        <v>767</v>
      </c>
      <c r="C494" s="174" t="s">
        <v>285</v>
      </c>
      <c r="D494" s="173">
        <v>2522551469</v>
      </c>
      <c r="E494" s="172">
        <v>394876677</v>
      </c>
      <c r="F494" s="164" t="s">
        <v>256</v>
      </c>
      <c r="G494" s="171">
        <v>36344</v>
      </c>
      <c r="H494" s="54">
        <f ca="1">DATEDIF(G494,TODAY(),"Y")</f>
        <v>17</v>
      </c>
      <c r="I494" s="170" t="str">
        <f>CHOOSE(MONTH(G494),"January","February","March","April","May","June","July","August","September","October","November","December")</f>
        <v>July</v>
      </c>
      <c r="J494" s="55" t="s">
        <v>283</v>
      </c>
      <c r="K494" s="56">
        <v>40872</v>
      </c>
      <c r="L494" s="169">
        <v>2</v>
      </c>
    </row>
    <row r="495" spans="1:12" x14ac:dyDescent="0.25">
      <c r="A495" s="164" t="s">
        <v>715</v>
      </c>
      <c r="B495" s="164" t="s">
        <v>767</v>
      </c>
      <c r="C495" s="174" t="s">
        <v>245</v>
      </c>
      <c r="D495" s="173">
        <v>9191675237</v>
      </c>
      <c r="E495" s="172">
        <v>174159111</v>
      </c>
      <c r="F495" s="164" t="s">
        <v>256</v>
      </c>
      <c r="G495" s="171">
        <v>36014</v>
      </c>
      <c r="H495" s="54">
        <f ca="1">DATEDIF(G495,TODAY(),"Y")</f>
        <v>18</v>
      </c>
      <c r="I495" s="170" t="str">
        <f>CHOOSE(MONTH(G495),"January","February","March","April","May","June","July","August","September","October","November","December")</f>
        <v>August</v>
      </c>
      <c r="J495" s="55" t="s">
        <v>262</v>
      </c>
      <c r="K495" s="56">
        <v>87240</v>
      </c>
      <c r="L495" s="169">
        <v>5</v>
      </c>
    </row>
    <row r="496" spans="1:12" x14ac:dyDescent="0.25">
      <c r="A496" s="164" t="s">
        <v>948</v>
      </c>
      <c r="B496" s="164" t="s">
        <v>767</v>
      </c>
      <c r="C496" s="174" t="s">
        <v>271</v>
      </c>
      <c r="D496" s="173">
        <v>9195220001</v>
      </c>
      <c r="E496" s="172">
        <v>880747384</v>
      </c>
      <c r="F496" s="164" t="s">
        <v>256</v>
      </c>
      <c r="G496" s="171">
        <v>34254</v>
      </c>
      <c r="H496" s="54">
        <f ca="1">DATEDIF(G496,TODAY(),"Y")</f>
        <v>23</v>
      </c>
      <c r="I496" s="170" t="str">
        <f>CHOOSE(MONTH(G496),"January","February","March","April","May","June","July","August","September","October","November","December")</f>
        <v>October</v>
      </c>
      <c r="J496" s="55" t="s">
        <v>267</v>
      </c>
      <c r="K496" s="56">
        <v>95280</v>
      </c>
      <c r="L496" s="169">
        <v>4</v>
      </c>
    </row>
    <row r="497" spans="1:12" x14ac:dyDescent="0.25">
      <c r="A497" s="164" t="s">
        <v>424</v>
      </c>
      <c r="B497" s="164" t="s">
        <v>767</v>
      </c>
      <c r="C497" s="174" t="s">
        <v>280</v>
      </c>
      <c r="D497" s="173">
        <v>9193876146</v>
      </c>
      <c r="E497" s="172">
        <v>422463024</v>
      </c>
      <c r="F497" s="164" t="s">
        <v>256</v>
      </c>
      <c r="G497" s="171">
        <v>35421</v>
      </c>
      <c r="H497" s="54">
        <f ca="1">DATEDIF(G497,TODAY(),"Y")</f>
        <v>19</v>
      </c>
      <c r="I497" s="170" t="str">
        <f>CHOOSE(MONTH(G497),"January","February","March","April","May","June","July","August","September","October","November","December")</f>
        <v>December</v>
      </c>
      <c r="J497" s="55" t="s">
        <v>262</v>
      </c>
      <c r="K497" s="56">
        <v>106584</v>
      </c>
      <c r="L497" s="169">
        <v>2</v>
      </c>
    </row>
    <row r="498" spans="1:12" x14ac:dyDescent="0.25">
      <c r="A498" s="164" t="s">
        <v>793</v>
      </c>
      <c r="B498" s="164" t="s">
        <v>767</v>
      </c>
      <c r="C498" s="174" t="s">
        <v>271</v>
      </c>
      <c r="D498" s="173">
        <v>9191267946</v>
      </c>
      <c r="E498" s="172">
        <v>339488599</v>
      </c>
      <c r="F498" s="164" t="s">
        <v>247</v>
      </c>
      <c r="G498" s="171">
        <v>38132</v>
      </c>
      <c r="H498" s="54">
        <f ca="1">DATEDIF(G498,TODAY(),"Y")</f>
        <v>12</v>
      </c>
      <c r="I498" s="170" t="str">
        <f>CHOOSE(MONTH(G498),"January","February","March","April","May","June","July","August","September","October","November","December")</f>
        <v>May</v>
      </c>
      <c r="J498" s="55"/>
      <c r="K498" s="56">
        <v>72084</v>
      </c>
      <c r="L498" s="169">
        <v>3</v>
      </c>
    </row>
    <row r="499" spans="1:12" x14ac:dyDescent="0.25">
      <c r="A499" s="164" t="s">
        <v>323</v>
      </c>
      <c r="B499" s="164" t="s">
        <v>767</v>
      </c>
      <c r="C499" s="174" t="s">
        <v>271</v>
      </c>
      <c r="D499" s="173">
        <v>9192999652</v>
      </c>
      <c r="E499" s="172">
        <v>561530671</v>
      </c>
      <c r="F499" s="164" t="s">
        <v>256</v>
      </c>
      <c r="G499" s="171">
        <v>34238</v>
      </c>
      <c r="H499" s="54">
        <f ca="1">DATEDIF(G499,TODAY(),"Y")</f>
        <v>23</v>
      </c>
      <c r="I499" s="170" t="str">
        <f>CHOOSE(MONTH(G499),"January","February","March","April","May","June","July","August","September","October","November","December")</f>
        <v>September</v>
      </c>
      <c r="J499" s="55" t="s">
        <v>262</v>
      </c>
      <c r="K499" s="56">
        <v>65400</v>
      </c>
      <c r="L499" s="169">
        <v>5</v>
      </c>
    </row>
    <row r="500" spans="1:12" x14ac:dyDescent="0.25">
      <c r="A500" s="164" t="s">
        <v>1032</v>
      </c>
      <c r="B500" s="164" t="s">
        <v>767</v>
      </c>
      <c r="C500" s="174" t="s">
        <v>285</v>
      </c>
      <c r="D500" s="173">
        <v>9197686976</v>
      </c>
      <c r="E500" s="172">
        <v>765512793</v>
      </c>
      <c r="F500" s="164" t="s">
        <v>256</v>
      </c>
      <c r="G500" s="171">
        <v>40592</v>
      </c>
      <c r="H500" s="54">
        <f ca="1">DATEDIF(G500,TODAY(),"Y")</f>
        <v>5</v>
      </c>
      <c r="I500" s="170" t="str">
        <f>CHOOSE(MONTH(G500),"January","February","March","April","May","June","July","August","September","October","November","December")</f>
        <v>February</v>
      </c>
      <c r="J500" s="55" t="s">
        <v>257</v>
      </c>
      <c r="K500" s="56">
        <v>77184</v>
      </c>
      <c r="L500" s="169">
        <v>5</v>
      </c>
    </row>
    <row r="501" spans="1:12" x14ac:dyDescent="0.25">
      <c r="A501" s="164" t="s">
        <v>795</v>
      </c>
      <c r="B501" s="164" t="s">
        <v>767</v>
      </c>
      <c r="C501" s="174" t="s">
        <v>245</v>
      </c>
      <c r="D501" s="173">
        <v>9193717553</v>
      </c>
      <c r="E501" s="172">
        <v>808012612</v>
      </c>
      <c r="F501" s="164" t="s">
        <v>247</v>
      </c>
      <c r="G501" s="171">
        <v>34386</v>
      </c>
      <c r="H501" s="54">
        <f ca="1">DATEDIF(G501,TODAY(),"Y")</f>
        <v>22</v>
      </c>
      <c r="I501" s="170" t="str">
        <f>CHOOSE(MONTH(G501),"January","February","March","April","May","June","July","August","September","October","November","December")</f>
        <v>February</v>
      </c>
      <c r="J501" s="55"/>
      <c r="K501" s="56">
        <v>72660</v>
      </c>
      <c r="L501" s="169">
        <v>2</v>
      </c>
    </row>
    <row r="502" spans="1:12" x14ac:dyDescent="0.25">
      <c r="A502" s="164" t="s">
        <v>880</v>
      </c>
      <c r="B502" s="164" t="s">
        <v>767</v>
      </c>
      <c r="C502" s="174" t="s">
        <v>245</v>
      </c>
      <c r="D502" s="173">
        <v>2523613559</v>
      </c>
      <c r="E502" s="172">
        <v>828715080</v>
      </c>
      <c r="F502" s="164" t="s">
        <v>256</v>
      </c>
      <c r="G502" s="171">
        <v>35822</v>
      </c>
      <c r="H502" s="54">
        <f ca="1">DATEDIF(G502,TODAY(),"Y")</f>
        <v>18</v>
      </c>
      <c r="I502" s="170" t="str">
        <f>CHOOSE(MONTH(G502),"January","February","March","April","May","June","July","August","September","October","November","December")</f>
        <v>January</v>
      </c>
      <c r="J502" s="55" t="s">
        <v>262</v>
      </c>
      <c r="K502" s="56">
        <v>73378</v>
      </c>
      <c r="L502" s="169">
        <v>2</v>
      </c>
    </row>
    <row r="503" spans="1:12" x14ac:dyDescent="0.25">
      <c r="A503" s="164" t="s">
        <v>426</v>
      </c>
      <c r="B503" s="164" t="s">
        <v>767</v>
      </c>
      <c r="C503" s="174" t="s">
        <v>285</v>
      </c>
      <c r="D503" s="173">
        <v>9195990200</v>
      </c>
      <c r="E503" s="172">
        <v>592519945</v>
      </c>
      <c r="F503" s="164" t="s">
        <v>256</v>
      </c>
      <c r="G503" s="171">
        <v>40174</v>
      </c>
      <c r="H503" s="54">
        <f ca="1">DATEDIF(G503,TODAY(),"Y")</f>
        <v>6</v>
      </c>
      <c r="I503" s="170" t="str">
        <f>CHOOSE(MONTH(G503),"January","February","March","April","May","June","July","August","September","October","November","December")</f>
        <v>December</v>
      </c>
      <c r="J503" s="55" t="s">
        <v>257</v>
      </c>
      <c r="K503" s="56">
        <v>53580</v>
      </c>
      <c r="L503" s="169">
        <v>1</v>
      </c>
    </row>
    <row r="504" spans="1:12" x14ac:dyDescent="0.25">
      <c r="A504" s="164" t="s">
        <v>757</v>
      </c>
      <c r="B504" s="164" t="s">
        <v>767</v>
      </c>
      <c r="C504" s="174" t="s">
        <v>280</v>
      </c>
      <c r="D504" s="173">
        <v>9194532398</v>
      </c>
      <c r="E504" s="172">
        <v>486016972</v>
      </c>
      <c r="F504" s="164" t="s">
        <v>261</v>
      </c>
      <c r="G504" s="171">
        <v>40456</v>
      </c>
      <c r="H504" s="54">
        <f ca="1">DATEDIF(G504,TODAY(),"Y")</f>
        <v>6</v>
      </c>
      <c r="I504" s="170" t="str">
        <f>CHOOSE(MONTH(G504),"January","February","March","April","May","June","July","August","September","October","November","December")</f>
        <v>October</v>
      </c>
      <c r="J504" s="55" t="s">
        <v>257</v>
      </c>
      <c r="K504" s="56">
        <v>54678</v>
      </c>
      <c r="L504" s="169">
        <v>1</v>
      </c>
    </row>
    <row r="505" spans="1:12" x14ac:dyDescent="0.25">
      <c r="A505" s="164" t="s">
        <v>638</v>
      </c>
      <c r="B505" s="164" t="s">
        <v>767</v>
      </c>
      <c r="C505" s="174" t="s">
        <v>285</v>
      </c>
      <c r="D505" s="173">
        <v>9194310812</v>
      </c>
      <c r="E505" s="172">
        <v>552528553</v>
      </c>
      <c r="F505" s="164" t="s">
        <v>252</v>
      </c>
      <c r="G505" s="171">
        <v>37068</v>
      </c>
      <c r="H505" s="54">
        <f ca="1">DATEDIF(G505,TODAY(),"Y")</f>
        <v>15</v>
      </c>
      <c r="I505" s="170" t="str">
        <f>CHOOSE(MONTH(G505),"January","February","March","April","May","June","July","August","September","October","November","December")</f>
        <v>June</v>
      </c>
      <c r="J505" s="55"/>
      <c r="K505" s="56">
        <v>44419</v>
      </c>
      <c r="L505" s="169">
        <v>4</v>
      </c>
    </row>
    <row r="506" spans="1:12" x14ac:dyDescent="0.25">
      <c r="A506" s="164" t="s">
        <v>459</v>
      </c>
      <c r="B506" s="164" t="s">
        <v>767</v>
      </c>
      <c r="C506" s="174" t="s">
        <v>266</v>
      </c>
      <c r="D506" s="173">
        <v>9192921836</v>
      </c>
      <c r="E506" s="172">
        <v>289103201</v>
      </c>
      <c r="F506" s="164" t="s">
        <v>256</v>
      </c>
      <c r="G506" s="171">
        <v>39945</v>
      </c>
      <c r="H506" s="54">
        <f ca="1">DATEDIF(G506,TODAY(),"Y")</f>
        <v>7</v>
      </c>
      <c r="I506" s="170" t="str">
        <f>CHOOSE(MONTH(G506),"January","February","March","April","May","June","July","August","September","October","November","December")</f>
        <v>May</v>
      </c>
      <c r="J506" s="55" t="s">
        <v>257</v>
      </c>
      <c r="K506" s="56">
        <v>88596</v>
      </c>
      <c r="L506" s="169">
        <v>2</v>
      </c>
    </row>
    <row r="507" spans="1:12" x14ac:dyDescent="0.25">
      <c r="A507" s="164" t="s">
        <v>955</v>
      </c>
      <c r="B507" s="164" t="s">
        <v>767</v>
      </c>
      <c r="C507" s="174" t="s">
        <v>285</v>
      </c>
      <c r="D507" s="173">
        <v>9191664940</v>
      </c>
      <c r="E507" s="172">
        <v>953109212</v>
      </c>
      <c r="F507" s="164" t="s">
        <v>256</v>
      </c>
      <c r="G507" s="171">
        <v>41166</v>
      </c>
      <c r="H507" s="54">
        <f ca="1">DATEDIF(G507,TODAY(),"Y")</f>
        <v>4</v>
      </c>
      <c r="I507" s="170" t="str">
        <f>CHOOSE(MONTH(G507),"January","February","March","April","May","June","July","August","September","October","November","December")</f>
        <v>September</v>
      </c>
      <c r="J507" s="55" t="s">
        <v>267</v>
      </c>
      <c r="K507" s="56">
        <v>70980</v>
      </c>
      <c r="L507" s="169">
        <v>4</v>
      </c>
    </row>
    <row r="508" spans="1:12" x14ac:dyDescent="0.25">
      <c r="A508" s="164" t="s">
        <v>374</v>
      </c>
      <c r="B508" s="164" t="s">
        <v>767</v>
      </c>
      <c r="C508" s="174" t="s">
        <v>271</v>
      </c>
      <c r="D508" s="173">
        <v>2523858464</v>
      </c>
      <c r="E508" s="172">
        <v>214291610</v>
      </c>
      <c r="F508" s="164" t="s">
        <v>256</v>
      </c>
      <c r="G508" s="171">
        <v>35947</v>
      </c>
      <c r="H508" s="54">
        <f ca="1">DATEDIF(G508,TODAY(),"Y")</f>
        <v>18</v>
      </c>
      <c r="I508" s="170" t="str">
        <f>CHOOSE(MONTH(G508),"January","February","March","April","May","June","July","August","September","October","November","December")</f>
        <v>June</v>
      </c>
      <c r="J508" s="55" t="s">
        <v>257</v>
      </c>
      <c r="K508" s="56">
        <v>56808</v>
      </c>
      <c r="L508" s="169">
        <v>2</v>
      </c>
    </row>
    <row r="509" spans="1:12" x14ac:dyDescent="0.25">
      <c r="A509" s="164" t="s">
        <v>430</v>
      </c>
      <c r="B509" s="164" t="s">
        <v>767</v>
      </c>
      <c r="C509" s="174" t="s">
        <v>271</v>
      </c>
      <c r="D509" s="173">
        <v>9192350434</v>
      </c>
      <c r="E509" s="172">
        <v>317193890</v>
      </c>
      <c r="F509" s="164" t="s">
        <v>256</v>
      </c>
      <c r="G509" s="171">
        <v>34897</v>
      </c>
      <c r="H509" s="54">
        <f ca="1">DATEDIF(G509,TODAY(),"Y")</f>
        <v>21</v>
      </c>
      <c r="I509" s="170" t="str">
        <f>CHOOSE(MONTH(G509),"January","February","March","April","May","June","July","August","September","October","November","December")</f>
        <v>July</v>
      </c>
      <c r="J509" s="55" t="s">
        <v>267</v>
      </c>
      <c r="K509" s="56">
        <v>83304</v>
      </c>
      <c r="L509" s="169">
        <v>2</v>
      </c>
    </row>
    <row r="510" spans="1:12" x14ac:dyDescent="0.25">
      <c r="A510" s="164" t="s">
        <v>965</v>
      </c>
      <c r="B510" s="164" t="s">
        <v>767</v>
      </c>
      <c r="C510" s="174" t="s">
        <v>285</v>
      </c>
      <c r="D510" s="173">
        <v>2521569304</v>
      </c>
      <c r="E510" s="172">
        <v>468234190</v>
      </c>
      <c r="F510" s="164" t="s">
        <v>256</v>
      </c>
      <c r="G510" s="171">
        <v>35897</v>
      </c>
      <c r="H510" s="54">
        <f ca="1">DATEDIF(G510,TODAY(),"Y")</f>
        <v>18</v>
      </c>
      <c r="I510" s="170" t="str">
        <f>CHOOSE(MONTH(G510),"January","February","March","April","May","June","July","August","September","October","November","December")</f>
        <v>April</v>
      </c>
      <c r="J510" s="55" t="s">
        <v>276</v>
      </c>
      <c r="K510" s="56">
        <v>87168</v>
      </c>
      <c r="L510" s="169">
        <v>3</v>
      </c>
    </row>
    <row r="511" spans="1:12" x14ac:dyDescent="0.25">
      <c r="A511" s="164" t="s">
        <v>330</v>
      </c>
      <c r="B511" s="164" t="s">
        <v>767</v>
      </c>
      <c r="C511" s="174" t="s">
        <v>285</v>
      </c>
      <c r="D511" s="173">
        <v>2527909707</v>
      </c>
      <c r="E511" s="172">
        <v>945160038</v>
      </c>
      <c r="F511" s="164" t="s">
        <v>256</v>
      </c>
      <c r="G511" s="171">
        <v>38429</v>
      </c>
      <c r="H511" s="54">
        <f ca="1">DATEDIF(G511,TODAY(),"Y")</f>
        <v>11</v>
      </c>
      <c r="I511" s="170" t="str">
        <f>CHOOSE(MONTH(G511),"January","February","March","April","May","June","July","August","September","October","November","December")</f>
        <v>March</v>
      </c>
      <c r="J511" s="55" t="s">
        <v>262</v>
      </c>
      <c r="K511" s="56">
        <v>28272</v>
      </c>
      <c r="L511" s="169">
        <v>3</v>
      </c>
    </row>
    <row r="512" spans="1:12" x14ac:dyDescent="0.25">
      <c r="A512" s="164" t="s">
        <v>531</v>
      </c>
      <c r="B512" s="164" t="s">
        <v>767</v>
      </c>
      <c r="C512" s="174" t="s">
        <v>271</v>
      </c>
      <c r="D512" s="173">
        <v>2528488350</v>
      </c>
      <c r="E512" s="172">
        <v>959750235</v>
      </c>
      <c r="F512" s="164" t="s">
        <v>256</v>
      </c>
      <c r="G512" s="171">
        <v>40865</v>
      </c>
      <c r="H512" s="54">
        <f ca="1">DATEDIF(G512,TODAY(),"Y")</f>
        <v>4</v>
      </c>
      <c r="I512" s="170" t="str">
        <f>CHOOSE(MONTH(G512),"January","February","March","April","May","June","July","August","September","October","November","December")</f>
        <v>November</v>
      </c>
      <c r="J512" s="55" t="s">
        <v>257</v>
      </c>
      <c r="K512" s="56">
        <v>65028</v>
      </c>
      <c r="L512" s="169">
        <v>4</v>
      </c>
    </row>
    <row r="513" spans="1:12" x14ac:dyDescent="0.25">
      <c r="A513" s="164" t="s">
        <v>642</v>
      </c>
      <c r="B513" s="164" t="s">
        <v>767</v>
      </c>
      <c r="C513" s="174" t="s">
        <v>285</v>
      </c>
      <c r="D513" s="173">
        <v>2528742282</v>
      </c>
      <c r="E513" s="172">
        <v>449987941</v>
      </c>
      <c r="F513" s="164" t="s">
        <v>256</v>
      </c>
      <c r="G513" s="171">
        <v>41205</v>
      </c>
      <c r="H513" s="54">
        <f ca="1">DATEDIF(G513,TODAY(),"Y")</f>
        <v>4</v>
      </c>
      <c r="I513" s="170" t="str">
        <f>CHOOSE(MONTH(G513),"January","February","March","April","May","June","July","August","September","October","November","December")</f>
        <v>October</v>
      </c>
      <c r="J513" s="55" t="s">
        <v>267</v>
      </c>
      <c r="K513" s="56">
        <v>75847</v>
      </c>
      <c r="L513" s="169">
        <v>1</v>
      </c>
    </row>
    <row r="514" spans="1:12" x14ac:dyDescent="0.25">
      <c r="A514" s="164" t="s">
        <v>534</v>
      </c>
      <c r="B514" s="164" t="s">
        <v>767</v>
      </c>
      <c r="C514" s="174" t="s">
        <v>251</v>
      </c>
      <c r="D514" s="173">
        <v>9196446519</v>
      </c>
      <c r="E514" s="172">
        <v>343185481</v>
      </c>
      <c r="F514" s="164" t="s">
        <v>256</v>
      </c>
      <c r="G514" s="171">
        <v>36646</v>
      </c>
      <c r="H514" s="54">
        <f ca="1">DATEDIF(G514,TODAY(),"Y")</f>
        <v>16</v>
      </c>
      <c r="I514" s="170" t="str">
        <f>CHOOSE(MONTH(G514),"January","February","March","April","May","June","July","August","September","October","November","December")</f>
        <v>April</v>
      </c>
      <c r="J514" s="55" t="s">
        <v>262</v>
      </c>
      <c r="K514" s="56">
        <v>88488</v>
      </c>
      <c r="L514" s="169">
        <v>4</v>
      </c>
    </row>
    <row r="515" spans="1:12" x14ac:dyDescent="0.25">
      <c r="A515" s="164" t="s">
        <v>974</v>
      </c>
      <c r="B515" s="164" t="s">
        <v>767</v>
      </c>
      <c r="C515" s="174" t="s">
        <v>266</v>
      </c>
      <c r="D515" s="173">
        <v>9195255121</v>
      </c>
      <c r="E515" s="172">
        <v>868364739</v>
      </c>
      <c r="F515" s="164" t="s">
        <v>261</v>
      </c>
      <c r="G515" s="171">
        <v>41021</v>
      </c>
      <c r="H515" s="54">
        <f ca="1">DATEDIF(G515,TODAY(),"Y")</f>
        <v>4</v>
      </c>
      <c r="I515" s="170" t="str">
        <f>CHOOSE(MONTH(G515),"January","February","March","April","May","June","July","August","September","October","November","December")</f>
        <v>April</v>
      </c>
      <c r="J515" s="55" t="s">
        <v>257</v>
      </c>
      <c r="K515" s="56">
        <v>14172</v>
      </c>
      <c r="L515" s="169">
        <v>1</v>
      </c>
    </row>
    <row r="516" spans="1:12" x14ac:dyDescent="0.25">
      <c r="A516" s="164" t="s">
        <v>976</v>
      </c>
      <c r="B516" s="164" t="s">
        <v>767</v>
      </c>
      <c r="C516" s="174" t="s">
        <v>280</v>
      </c>
      <c r="D516" s="173">
        <v>9192891217</v>
      </c>
      <c r="E516" s="172">
        <v>445693854</v>
      </c>
      <c r="F516" s="164" t="s">
        <v>247</v>
      </c>
      <c r="G516" s="171">
        <v>35643</v>
      </c>
      <c r="H516" s="54">
        <f ca="1">DATEDIF(G516,TODAY(),"Y")</f>
        <v>19</v>
      </c>
      <c r="I516" s="170" t="str">
        <f>CHOOSE(MONTH(G516),"January","February","March","April","May","June","July","August","September","October","November","December")</f>
        <v>August</v>
      </c>
      <c r="J516" s="55"/>
      <c r="K516" s="56">
        <v>92244</v>
      </c>
      <c r="L516" s="169">
        <v>5</v>
      </c>
    </row>
    <row r="517" spans="1:12" x14ac:dyDescent="0.25">
      <c r="A517" s="164" t="s">
        <v>699</v>
      </c>
      <c r="B517" s="164" t="s">
        <v>767</v>
      </c>
      <c r="C517" s="174" t="s">
        <v>271</v>
      </c>
      <c r="D517" s="173">
        <v>2523265407</v>
      </c>
      <c r="E517" s="172">
        <v>358017400</v>
      </c>
      <c r="F517" s="164" t="s">
        <v>252</v>
      </c>
      <c r="G517" s="171">
        <v>37108</v>
      </c>
      <c r="H517" s="54">
        <f ca="1">DATEDIF(G517,TODAY(),"Y")</f>
        <v>15</v>
      </c>
      <c r="I517" s="170" t="str">
        <f>CHOOSE(MONTH(G517),"January","February","March","April","May","June","July","August","September","October","November","December")</f>
        <v>August</v>
      </c>
      <c r="J517" s="55"/>
      <c r="K517" s="56">
        <v>43262</v>
      </c>
      <c r="L517" s="169">
        <v>5</v>
      </c>
    </row>
    <row r="518" spans="1:12" x14ac:dyDescent="0.25">
      <c r="A518" s="164" t="s">
        <v>653</v>
      </c>
      <c r="B518" s="164" t="s">
        <v>767</v>
      </c>
      <c r="C518" s="174" t="s">
        <v>271</v>
      </c>
      <c r="D518" s="173">
        <v>2521384592</v>
      </c>
      <c r="E518" s="172">
        <v>978154935</v>
      </c>
      <c r="F518" s="164" t="s">
        <v>256</v>
      </c>
      <c r="G518" s="171">
        <v>36923</v>
      </c>
      <c r="H518" s="54">
        <f ca="1">DATEDIF(G518,TODAY(),"Y")</f>
        <v>15</v>
      </c>
      <c r="I518" s="170" t="str">
        <f>CHOOSE(MONTH(G518),"January","February","March","April","May","June","July","August","September","October","November","December")</f>
        <v>February</v>
      </c>
      <c r="J518" s="55" t="s">
        <v>267</v>
      </c>
      <c r="K518" s="56">
        <v>55632</v>
      </c>
      <c r="L518" s="169">
        <v>5</v>
      </c>
    </row>
    <row r="519" spans="1:12" x14ac:dyDescent="0.25">
      <c r="A519" s="164" t="s">
        <v>980</v>
      </c>
      <c r="B519" s="164" t="s">
        <v>767</v>
      </c>
      <c r="C519" s="174" t="s">
        <v>271</v>
      </c>
      <c r="D519" s="173">
        <v>2524160215</v>
      </c>
      <c r="E519" s="172">
        <v>548283920</v>
      </c>
      <c r="F519" s="164" t="s">
        <v>247</v>
      </c>
      <c r="G519" s="171">
        <v>37025</v>
      </c>
      <c r="H519" s="54">
        <f ca="1">DATEDIF(G519,TODAY(),"Y")</f>
        <v>15</v>
      </c>
      <c r="I519" s="170" t="str">
        <f>CHOOSE(MONTH(G519),"January","February","March","April","May","June","July","August","September","October","November","December")</f>
        <v>May</v>
      </c>
      <c r="J519" s="55"/>
      <c r="K519" s="56">
        <v>69588</v>
      </c>
      <c r="L519" s="169">
        <v>5</v>
      </c>
    </row>
    <row r="520" spans="1:12" x14ac:dyDescent="0.25">
      <c r="A520" s="164" t="s">
        <v>820</v>
      </c>
      <c r="B520" s="164" t="s">
        <v>767</v>
      </c>
      <c r="C520" s="174" t="s">
        <v>245</v>
      </c>
      <c r="D520" s="173">
        <v>2526079829</v>
      </c>
      <c r="E520" s="172">
        <v>378882665</v>
      </c>
      <c r="F520" s="164" t="s">
        <v>261</v>
      </c>
      <c r="G520" s="171">
        <v>34399</v>
      </c>
      <c r="H520" s="54">
        <f ca="1">DATEDIF(G520,TODAY(),"Y")</f>
        <v>22</v>
      </c>
      <c r="I520" s="170" t="str">
        <f>CHOOSE(MONTH(G520),"January","February","March","April","May","June","July","August","September","October","November","December")</f>
        <v>March</v>
      </c>
      <c r="J520" s="55" t="s">
        <v>257</v>
      </c>
      <c r="K520" s="56">
        <v>55656</v>
      </c>
      <c r="L520" s="169">
        <v>3</v>
      </c>
    </row>
    <row r="521" spans="1:12" x14ac:dyDescent="0.25">
      <c r="A521" s="164" t="s">
        <v>434</v>
      </c>
      <c r="B521" s="164" t="s">
        <v>767</v>
      </c>
      <c r="C521" s="174" t="s">
        <v>285</v>
      </c>
      <c r="D521" s="173">
        <v>9191971988</v>
      </c>
      <c r="E521" s="172">
        <v>302170290</v>
      </c>
      <c r="F521" s="164" t="s">
        <v>256</v>
      </c>
      <c r="G521" s="171">
        <v>36256</v>
      </c>
      <c r="H521" s="54">
        <f ca="1">DATEDIF(G521,TODAY(),"Y")</f>
        <v>17</v>
      </c>
      <c r="I521" s="170" t="str">
        <f>CHOOSE(MONTH(G521),"January","February","March","April","May","June","July","August","September","October","November","December")</f>
        <v>April</v>
      </c>
      <c r="J521" s="55" t="s">
        <v>257</v>
      </c>
      <c r="K521" s="56">
        <v>75924</v>
      </c>
      <c r="L521" s="169">
        <v>1</v>
      </c>
    </row>
    <row r="522" spans="1:12" x14ac:dyDescent="0.25">
      <c r="A522" s="164" t="s">
        <v>689</v>
      </c>
      <c r="B522" s="164" t="s">
        <v>767</v>
      </c>
      <c r="C522" s="174" t="s">
        <v>271</v>
      </c>
      <c r="D522" s="173">
        <v>9195691314</v>
      </c>
      <c r="E522" s="172">
        <v>330879921</v>
      </c>
      <c r="F522" s="164" t="s">
        <v>256</v>
      </c>
      <c r="G522" s="171">
        <v>36816</v>
      </c>
      <c r="H522" s="54">
        <f ca="1">DATEDIF(G522,TODAY(),"Y")</f>
        <v>16</v>
      </c>
      <c r="I522" s="170" t="str">
        <f>CHOOSE(MONTH(G522),"January","February","March","April","May","June","July","August","September","October","November","December")</f>
        <v>October</v>
      </c>
      <c r="J522" s="55" t="s">
        <v>267</v>
      </c>
      <c r="K522" s="56">
        <v>65496</v>
      </c>
      <c r="L522" s="169">
        <v>4</v>
      </c>
    </row>
    <row r="523" spans="1:12" x14ac:dyDescent="0.25">
      <c r="A523" s="164" t="s">
        <v>726</v>
      </c>
      <c r="B523" s="164" t="s">
        <v>767</v>
      </c>
      <c r="C523" s="174" t="s">
        <v>271</v>
      </c>
      <c r="D523" s="173">
        <v>9195699651</v>
      </c>
      <c r="E523" s="172">
        <v>558903229</v>
      </c>
      <c r="F523" s="164" t="s">
        <v>256</v>
      </c>
      <c r="G523" s="171">
        <v>34789</v>
      </c>
      <c r="H523" s="54">
        <f ca="1">DATEDIF(G523,TODAY(),"Y")</f>
        <v>21</v>
      </c>
      <c r="I523" s="170" t="str">
        <f>CHOOSE(MONTH(G523),"January","February","March","April","May","June","July","August","September","October","November","December")</f>
        <v>March</v>
      </c>
      <c r="J523" s="55" t="s">
        <v>257</v>
      </c>
      <c r="K523" s="56">
        <v>27984</v>
      </c>
      <c r="L523" s="169">
        <v>4</v>
      </c>
    </row>
    <row r="524" spans="1:12" x14ac:dyDescent="0.25">
      <c r="A524" s="164" t="s">
        <v>984</v>
      </c>
      <c r="B524" s="164" t="s">
        <v>767</v>
      </c>
      <c r="C524" s="174" t="s">
        <v>271</v>
      </c>
      <c r="D524" s="173">
        <v>9191124357</v>
      </c>
      <c r="E524" s="172">
        <v>737152868</v>
      </c>
      <c r="F524" s="164" t="s">
        <v>256</v>
      </c>
      <c r="G524" s="171">
        <v>37401</v>
      </c>
      <c r="H524" s="54">
        <f ca="1">DATEDIF(G524,TODAY(),"Y")</f>
        <v>14</v>
      </c>
      <c r="I524" s="170" t="str">
        <f>CHOOSE(MONTH(G524),"January","February","March","April","May","June","July","August","September","October","November","December")</f>
        <v>May</v>
      </c>
      <c r="J524" s="55" t="s">
        <v>276</v>
      </c>
      <c r="K524" s="56">
        <v>57996</v>
      </c>
      <c r="L524" s="169">
        <v>1</v>
      </c>
    </row>
    <row r="525" spans="1:12" x14ac:dyDescent="0.25">
      <c r="A525" s="164" t="s">
        <v>985</v>
      </c>
      <c r="B525" s="164" t="s">
        <v>767</v>
      </c>
      <c r="C525" s="174" t="s">
        <v>245</v>
      </c>
      <c r="D525" s="173">
        <v>2522543210</v>
      </c>
      <c r="E525" s="172">
        <v>433314045</v>
      </c>
      <c r="F525" s="164" t="s">
        <v>247</v>
      </c>
      <c r="G525" s="171">
        <v>34366</v>
      </c>
      <c r="H525" s="54">
        <f ca="1">DATEDIF(G525,TODAY(),"Y")</f>
        <v>22</v>
      </c>
      <c r="I525" s="170" t="str">
        <f>CHOOSE(MONTH(G525),"January","February","March","April","May","June","July","August","September","October","November","December")</f>
        <v>February</v>
      </c>
      <c r="J525" s="55"/>
      <c r="K525" s="56">
        <v>57108</v>
      </c>
      <c r="L525" s="169">
        <v>3</v>
      </c>
    </row>
    <row r="526" spans="1:12" x14ac:dyDescent="0.25">
      <c r="A526" s="164" t="s">
        <v>898</v>
      </c>
      <c r="B526" s="164" t="s">
        <v>767</v>
      </c>
      <c r="C526" s="174" t="s">
        <v>271</v>
      </c>
      <c r="D526" s="173">
        <v>2523046338</v>
      </c>
      <c r="E526" s="172">
        <v>456809622</v>
      </c>
      <c r="F526" s="164" t="s">
        <v>256</v>
      </c>
      <c r="G526" s="171">
        <v>33826</v>
      </c>
      <c r="H526" s="54">
        <f ca="1">DATEDIF(G526,TODAY(),"Y")</f>
        <v>24</v>
      </c>
      <c r="I526" s="170" t="str">
        <f>CHOOSE(MONTH(G526),"January","February","March","April","May","June","July","August","September","October","November","December")</f>
        <v>August</v>
      </c>
      <c r="J526" s="55" t="s">
        <v>257</v>
      </c>
      <c r="K526" s="56">
        <v>57696</v>
      </c>
      <c r="L526" s="169">
        <v>2</v>
      </c>
    </row>
    <row r="527" spans="1:12" x14ac:dyDescent="0.25">
      <c r="A527" s="164" t="s">
        <v>546</v>
      </c>
      <c r="B527" s="164" t="s">
        <v>767</v>
      </c>
      <c r="C527" s="174" t="s">
        <v>271</v>
      </c>
      <c r="D527" s="173">
        <v>2528922252</v>
      </c>
      <c r="E527" s="172">
        <v>638495756</v>
      </c>
      <c r="F527" s="164" t="s">
        <v>247</v>
      </c>
      <c r="G527" s="171">
        <v>34677</v>
      </c>
      <c r="H527" s="54">
        <f ca="1">DATEDIF(G527,TODAY(),"Y")</f>
        <v>21</v>
      </c>
      <c r="I527" s="170" t="str">
        <f>CHOOSE(MONTH(G527),"January","February","March","April","May","June","July","August","September","October","November","December")</f>
        <v>December</v>
      </c>
      <c r="J527" s="55"/>
      <c r="K527" s="56">
        <v>53664</v>
      </c>
      <c r="L527" s="169">
        <v>2</v>
      </c>
    </row>
    <row r="528" spans="1:12" x14ac:dyDescent="0.25">
      <c r="A528" s="164" t="s">
        <v>548</v>
      </c>
      <c r="B528" s="164" t="s">
        <v>767</v>
      </c>
      <c r="C528" s="174" t="s">
        <v>285</v>
      </c>
      <c r="D528" s="173">
        <v>9194727385</v>
      </c>
      <c r="E528" s="172">
        <v>528258211</v>
      </c>
      <c r="F528" s="164" t="s">
        <v>256</v>
      </c>
      <c r="G528" s="171">
        <v>33856</v>
      </c>
      <c r="H528" s="54">
        <f ca="1">DATEDIF(G528,TODAY(),"Y")</f>
        <v>24</v>
      </c>
      <c r="I528" s="170" t="str">
        <f>CHOOSE(MONTH(G528),"January","February","March","April","May","June","July","August","September","October","November","December")</f>
        <v>September</v>
      </c>
      <c r="J528" s="55" t="s">
        <v>267</v>
      </c>
      <c r="K528" s="56">
        <v>55332</v>
      </c>
      <c r="L528" s="169">
        <v>4</v>
      </c>
    </row>
    <row r="529" spans="1:12" x14ac:dyDescent="0.25">
      <c r="A529" s="164" t="s">
        <v>556</v>
      </c>
      <c r="B529" s="164" t="s">
        <v>767</v>
      </c>
      <c r="C529" s="174" t="s">
        <v>280</v>
      </c>
      <c r="D529" s="173">
        <v>2526698101</v>
      </c>
      <c r="E529" s="172">
        <v>886332647</v>
      </c>
      <c r="F529" s="164" t="s">
        <v>256</v>
      </c>
      <c r="G529" s="171">
        <v>38576</v>
      </c>
      <c r="H529" s="54">
        <f ca="1">DATEDIF(G529,TODAY(),"Y")</f>
        <v>11</v>
      </c>
      <c r="I529" s="170" t="str">
        <f>CHOOSE(MONTH(G529),"January","February","March","April","May","June","July","August","September","October","November","December")</f>
        <v>August</v>
      </c>
      <c r="J529" s="55" t="s">
        <v>262</v>
      </c>
      <c r="K529" s="56">
        <v>92292</v>
      </c>
      <c r="L529" s="169">
        <v>2</v>
      </c>
    </row>
    <row r="530" spans="1:12" x14ac:dyDescent="0.25">
      <c r="A530" s="164" t="s">
        <v>557</v>
      </c>
      <c r="B530" s="164" t="s">
        <v>767</v>
      </c>
      <c r="C530" s="174" t="s">
        <v>271</v>
      </c>
      <c r="D530" s="173">
        <v>2521276517</v>
      </c>
      <c r="E530" s="172">
        <v>462650472</v>
      </c>
      <c r="F530" s="164" t="s">
        <v>247</v>
      </c>
      <c r="G530" s="171">
        <v>34130</v>
      </c>
      <c r="H530" s="54">
        <f ca="1">DATEDIF(G530,TODAY(),"Y")</f>
        <v>23</v>
      </c>
      <c r="I530" s="170" t="str">
        <f>CHOOSE(MONTH(G530),"January","February","March","April","May","June","July","August","September","October","November","December")</f>
        <v>June</v>
      </c>
      <c r="J530" s="55"/>
      <c r="K530" s="56">
        <v>95256</v>
      </c>
      <c r="L530" s="169">
        <v>1</v>
      </c>
    </row>
    <row r="531" spans="1:12" x14ac:dyDescent="0.25">
      <c r="A531" s="164" t="s">
        <v>905</v>
      </c>
      <c r="B531" s="164" t="s">
        <v>767</v>
      </c>
      <c r="C531" s="174" t="s">
        <v>271</v>
      </c>
      <c r="D531" s="173">
        <v>2522344526</v>
      </c>
      <c r="E531" s="172">
        <v>336025451</v>
      </c>
      <c r="F531" s="164" t="s">
        <v>247</v>
      </c>
      <c r="G531" s="171">
        <v>35206</v>
      </c>
      <c r="H531" s="54">
        <f ca="1">DATEDIF(G531,TODAY(),"Y")</f>
        <v>20</v>
      </c>
      <c r="I531" s="170" t="str">
        <f>CHOOSE(MONTH(G531),"January","February","March","April","May","June","July","August","September","October","November","December")</f>
        <v>May</v>
      </c>
      <c r="J531" s="55"/>
      <c r="K531" s="56">
        <v>67980</v>
      </c>
      <c r="L531" s="169">
        <v>1</v>
      </c>
    </row>
    <row r="532" spans="1:12" x14ac:dyDescent="0.25">
      <c r="A532" s="164" t="s">
        <v>342</v>
      </c>
      <c r="B532" s="164" t="s">
        <v>767</v>
      </c>
      <c r="C532" s="174" t="s">
        <v>271</v>
      </c>
      <c r="D532" s="173">
        <v>9195617115</v>
      </c>
      <c r="E532" s="172">
        <v>494754997</v>
      </c>
      <c r="F532" s="164" t="s">
        <v>247</v>
      </c>
      <c r="G532" s="171">
        <v>35454</v>
      </c>
      <c r="H532" s="54">
        <f ca="1">DATEDIF(G532,TODAY(),"Y")</f>
        <v>19</v>
      </c>
      <c r="I532" s="170" t="str">
        <f>CHOOSE(MONTH(G532),"January","February","March","April","May","June","July","August","September","October","November","December")</f>
        <v>January</v>
      </c>
      <c r="J532" s="55"/>
      <c r="K532" s="56">
        <v>39744</v>
      </c>
      <c r="L532" s="169">
        <v>2</v>
      </c>
    </row>
    <row r="533" spans="1:12" x14ac:dyDescent="0.25">
      <c r="A533" s="164" t="s">
        <v>990</v>
      </c>
      <c r="B533" s="164" t="s">
        <v>767</v>
      </c>
      <c r="C533" s="174" t="s">
        <v>285</v>
      </c>
      <c r="D533" s="173">
        <v>2522636321</v>
      </c>
      <c r="E533" s="172">
        <v>115404531</v>
      </c>
      <c r="F533" s="164" t="s">
        <v>261</v>
      </c>
      <c r="G533" s="171">
        <v>38901</v>
      </c>
      <c r="H533" s="54">
        <f ca="1">DATEDIF(G533,TODAY(),"Y")</f>
        <v>10</v>
      </c>
      <c r="I533" s="170" t="str">
        <f>CHOOSE(MONTH(G533),"January","February","March","April","May","June","July","August","September","October","November","December")</f>
        <v>July</v>
      </c>
      <c r="J533" s="55" t="s">
        <v>283</v>
      </c>
      <c r="K533" s="56">
        <v>39480</v>
      </c>
      <c r="L533" s="169">
        <v>2</v>
      </c>
    </row>
    <row r="534" spans="1:12" x14ac:dyDescent="0.25">
      <c r="A534" s="164" t="s">
        <v>437</v>
      </c>
      <c r="B534" s="164" t="s">
        <v>767</v>
      </c>
      <c r="C534" s="174" t="s">
        <v>271</v>
      </c>
      <c r="D534" s="173">
        <v>9198642893</v>
      </c>
      <c r="E534" s="172">
        <v>379340654</v>
      </c>
      <c r="F534" s="164" t="s">
        <v>256</v>
      </c>
      <c r="G534" s="171">
        <v>36718</v>
      </c>
      <c r="H534" s="54">
        <f ca="1">DATEDIF(G534,TODAY(),"Y")</f>
        <v>16</v>
      </c>
      <c r="I534" s="170" t="str">
        <f>CHOOSE(MONTH(G534),"January","February","March","April","May","June","July","August","September","October","November","December")</f>
        <v>July</v>
      </c>
      <c r="J534" s="55" t="s">
        <v>276</v>
      </c>
      <c r="K534" s="56">
        <v>44268</v>
      </c>
      <c r="L534" s="169">
        <v>1</v>
      </c>
    </row>
    <row r="535" spans="1:12" x14ac:dyDescent="0.25">
      <c r="A535" s="164" t="s">
        <v>827</v>
      </c>
      <c r="B535" s="164" t="s">
        <v>767</v>
      </c>
      <c r="C535" s="174" t="s">
        <v>285</v>
      </c>
      <c r="D535" s="173">
        <v>9197600603</v>
      </c>
      <c r="E535" s="172">
        <v>161439267</v>
      </c>
      <c r="F535" s="164" t="s">
        <v>256</v>
      </c>
      <c r="G535" s="171">
        <v>40090</v>
      </c>
      <c r="H535" s="54">
        <f ca="1">DATEDIF(G535,TODAY(),"Y")</f>
        <v>7</v>
      </c>
      <c r="I535" s="170" t="str">
        <f>CHOOSE(MONTH(G535),"January","February","March","April","May","June","July","August","September","October","November","December")</f>
        <v>October</v>
      </c>
      <c r="J535" s="55" t="s">
        <v>262</v>
      </c>
      <c r="K535" s="56">
        <v>50424</v>
      </c>
      <c r="L535" s="169">
        <v>5</v>
      </c>
    </row>
    <row r="536" spans="1:12" x14ac:dyDescent="0.25">
      <c r="A536" s="164" t="s">
        <v>995</v>
      </c>
      <c r="B536" s="164" t="s">
        <v>767</v>
      </c>
      <c r="C536" s="174" t="s">
        <v>245</v>
      </c>
      <c r="D536" s="173">
        <v>2521246633</v>
      </c>
      <c r="E536" s="172">
        <v>106686151</v>
      </c>
      <c r="F536" s="164" t="s">
        <v>247</v>
      </c>
      <c r="G536" s="171">
        <v>36814</v>
      </c>
      <c r="H536" s="54">
        <f ca="1">DATEDIF(G536,TODAY(),"Y")</f>
        <v>16</v>
      </c>
      <c r="I536" s="170" t="str">
        <f>CHOOSE(MONTH(G536),"January","February","March","April","May","June","July","August","September","October","November","December")</f>
        <v>October</v>
      </c>
      <c r="J536" s="55"/>
      <c r="K536" s="56">
        <v>57024</v>
      </c>
      <c r="L536" s="169">
        <v>1</v>
      </c>
    </row>
    <row r="537" spans="1:12" x14ac:dyDescent="0.25">
      <c r="A537" s="164" t="s">
        <v>575</v>
      </c>
      <c r="B537" s="164" t="s">
        <v>767</v>
      </c>
      <c r="C537" s="174" t="s">
        <v>271</v>
      </c>
      <c r="D537" s="173">
        <v>9191963194</v>
      </c>
      <c r="E537" s="172">
        <v>387131597</v>
      </c>
      <c r="F537" s="164" t="s">
        <v>247</v>
      </c>
      <c r="G537" s="171">
        <v>34243</v>
      </c>
      <c r="H537" s="54">
        <f ca="1">DATEDIF(G537,TODAY(),"Y")</f>
        <v>23</v>
      </c>
      <c r="I537" s="170" t="str">
        <f>CHOOSE(MONTH(G537),"January","February","March","April","May","June","July","August","September","October","November","December")</f>
        <v>October</v>
      </c>
      <c r="J537" s="55"/>
      <c r="K537" s="56">
        <v>63300</v>
      </c>
      <c r="L537" s="169">
        <v>1</v>
      </c>
    </row>
    <row r="538" spans="1:12" x14ac:dyDescent="0.25">
      <c r="A538" s="164" t="s">
        <v>310</v>
      </c>
      <c r="B538" s="164" t="s">
        <v>767</v>
      </c>
      <c r="C538" s="174" t="s">
        <v>266</v>
      </c>
      <c r="D538" s="173">
        <v>2528439277</v>
      </c>
      <c r="E538" s="172">
        <v>437460422</v>
      </c>
      <c r="F538" s="164" t="s">
        <v>261</v>
      </c>
      <c r="G538" s="171">
        <v>39451</v>
      </c>
      <c r="H538" s="54">
        <f ca="1">DATEDIF(G538,TODAY(),"Y")</f>
        <v>8</v>
      </c>
      <c r="I538" s="170" t="str">
        <f>CHOOSE(MONTH(G538),"January","February","March","April","May","June","July","August","September","October","November","December")</f>
        <v>January</v>
      </c>
      <c r="J538" s="55" t="s">
        <v>283</v>
      </c>
      <c r="K538" s="56">
        <v>12756</v>
      </c>
      <c r="L538" s="169">
        <v>3</v>
      </c>
    </row>
    <row r="539" spans="1:12" x14ac:dyDescent="0.25">
      <c r="A539" s="164" t="s">
        <v>578</v>
      </c>
      <c r="B539" s="164" t="s">
        <v>767</v>
      </c>
      <c r="C539" s="174" t="s">
        <v>271</v>
      </c>
      <c r="D539" s="173">
        <v>9191376854</v>
      </c>
      <c r="E539" s="172">
        <v>867100310</v>
      </c>
      <c r="F539" s="164" t="s">
        <v>256</v>
      </c>
      <c r="G539" s="171">
        <v>37121</v>
      </c>
      <c r="H539" s="54">
        <f ca="1">DATEDIF(G539,TODAY(),"Y")</f>
        <v>15</v>
      </c>
      <c r="I539" s="170" t="str">
        <f>CHOOSE(MONTH(G539),"January","February","March","April","May","June","July","August","September","October","November","December")</f>
        <v>August</v>
      </c>
      <c r="J539" s="55" t="s">
        <v>283</v>
      </c>
      <c r="K539" s="56">
        <v>79092</v>
      </c>
      <c r="L539" s="169">
        <v>5</v>
      </c>
    </row>
    <row r="540" spans="1:12" x14ac:dyDescent="0.25">
      <c r="A540" s="164" t="s">
        <v>696</v>
      </c>
      <c r="B540" s="164" t="s">
        <v>767</v>
      </c>
      <c r="C540" s="174" t="s">
        <v>266</v>
      </c>
      <c r="D540" s="173">
        <v>2522924678</v>
      </c>
      <c r="E540" s="172">
        <v>546159785</v>
      </c>
      <c r="F540" s="164" t="s">
        <v>256</v>
      </c>
      <c r="G540" s="171">
        <v>39151</v>
      </c>
      <c r="H540" s="54">
        <f ca="1">DATEDIF(G540,TODAY(),"Y")</f>
        <v>9</v>
      </c>
      <c r="I540" s="170" t="str">
        <f>CHOOSE(MONTH(G540),"January","February","March","April","May","June","July","August","September","October","November","December")</f>
        <v>March</v>
      </c>
      <c r="J540" s="55" t="s">
        <v>276</v>
      </c>
      <c r="K540" s="56">
        <v>73596</v>
      </c>
      <c r="L540" s="169">
        <v>2</v>
      </c>
    </row>
    <row r="541" spans="1:12" x14ac:dyDescent="0.25">
      <c r="A541" s="164" t="s">
        <v>352</v>
      </c>
      <c r="B541" s="164" t="s">
        <v>767</v>
      </c>
      <c r="C541" s="174" t="s">
        <v>271</v>
      </c>
      <c r="D541" s="173">
        <v>2521957923</v>
      </c>
      <c r="E541" s="172">
        <v>728567428</v>
      </c>
      <c r="F541" s="164" t="s">
        <v>256</v>
      </c>
      <c r="G541" s="171">
        <v>41352</v>
      </c>
      <c r="H541" s="54">
        <f ca="1">DATEDIF(G541,TODAY(),"Y")</f>
        <v>3</v>
      </c>
      <c r="I541" s="170" t="str">
        <f>CHOOSE(MONTH(G541),"January","February","March","April","May","June","July","August","September","October","November","December")</f>
        <v>March</v>
      </c>
      <c r="J541" s="55" t="s">
        <v>276</v>
      </c>
      <c r="K541" s="56">
        <v>103800</v>
      </c>
      <c r="L541" s="169">
        <v>1</v>
      </c>
    </row>
    <row r="542" spans="1:12" x14ac:dyDescent="0.25">
      <c r="A542" s="164" t="s">
        <v>582</v>
      </c>
      <c r="B542" s="164" t="s">
        <v>767</v>
      </c>
      <c r="C542" s="174" t="s">
        <v>285</v>
      </c>
      <c r="D542" s="173">
        <v>2525842116</v>
      </c>
      <c r="E542" s="172">
        <v>699386024</v>
      </c>
      <c r="F542" s="164" t="s">
        <v>252</v>
      </c>
      <c r="G542" s="171">
        <v>36756</v>
      </c>
      <c r="H542" s="54">
        <f ca="1">DATEDIF(G542,TODAY(),"Y")</f>
        <v>16</v>
      </c>
      <c r="I542" s="170" t="str">
        <f>CHOOSE(MONTH(G542),"January","February","March","April","May","June","July","August","September","October","November","December")</f>
        <v>August</v>
      </c>
      <c r="J542" s="55"/>
      <c r="K542" s="56">
        <v>20026</v>
      </c>
      <c r="L542" s="169">
        <v>3</v>
      </c>
    </row>
    <row r="543" spans="1:12" x14ac:dyDescent="0.25">
      <c r="A543" s="164" t="s">
        <v>584</v>
      </c>
      <c r="B543" s="164" t="s">
        <v>767</v>
      </c>
      <c r="C543" s="174" t="s">
        <v>271</v>
      </c>
      <c r="D543" s="173">
        <v>9192453666</v>
      </c>
      <c r="E543" s="172">
        <v>503036433</v>
      </c>
      <c r="F543" s="164" t="s">
        <v>256</v>
      </c>
      <c r="G543" s="171">
        <v>34188</v>
      </c>
      <c r="H543" s="54">
        <f ca="1">DATEDIF(G543,TODAY(),"Y")</f>
        <v>23</v>
      </c>
      <c r="I543" s="170" t="str">
        <f>CHOOSE(MONTH(G543),"January","February","March","April","May","June","July","August","September","October","November","December")</f>
        <v>August</v>
      </c>
      <c r="J543" s="55" t="s">
        <v>267</v>
      </c>
      <c r="K543" s="56">
        <v>93288</v>
      </c>
      <c r="L543" s="169">
        <v>1</v>
      </c>
    </row>
    <row r="544" spans="1:12" x14ac:dyDescent="0.25">
      <c r="A544" s="164" t="s">
        <v>445</v>
      </c>
      <c r="B544" s="164" t="s">
        <v>767</v>
      </c>
      <c r="C544" s="174" t="s">
        <v>285</v>
      </c>
      <c r="D544" s="173">
        <v>9196456972</v>
      </c>
      <c r="E544" s="172">
        <v>938723321</v>
      </c>
      <c r="F544" s="164" t="s">
        <v>247</v>
      </c>
      <c r="G544" s="171">
        <v>40071</v>
      </c>
      <c r="H544" s="54">
        <f ca="1">DATEDIF(G544,TODAY(),"Y")</f>
        <v>7</v>
      </c>
      <c r="I544" s="170" t="str">
        <f>CHOOSE(MONTH(G544),"January","February","March","April","May","June","July","August","September","October","November","December")</f>
        <v>September</v>
      </c>
      <c r="J544" s="55"/>
      <c r="K544" s="56">
        <v>107568</v>
      </c>
      <c r="L544" s="169">
        <v>4</v>
      </c>
    </row>
    <row r="545" spans="1:12" x14ac:dyDescent="0.25">
      <c r="A545" s="164" t="s">
        <v>762</v>
      </c>
      <c r="B545" s="164" t="s">
        <v>767</v>
      </c>
      <c r="C545" s="174" t="s">
        <v>285</v>
      </c>
      <c r="D545" s="173">
        <v>2523122083</v>
      </c>
      <c r="E545" s="172">
        <v>569882669</v>
      </c>
      <c r="F545" s="164" t="s">
        <v>256</v>
      </c>
      <c r="G545" s="171">
        <v>38296</v>
      </c>
      <c r="H545" s="54">
        <f ca="1">DATEDIF(G545,TODAY(),"Y")</f>
        <v>12</v>
      </c>
      <c r="I545" s="170" t="str">
        <f>CHOOSE(MONTH(G545),"January","February","March","April","May","June","July","August","September","October","November","December")</f>
        <v>November</v>
      </c>
      <c r="J545" s="55" t="s">
        <v>262</v>
      </c>
      <c r="K545" s="56">
        <v>54120</v>
      </c>
      <c r="L545" s="169">
        <v>2</v>
      </c>
    </row>
    <row r="546" spans="1:12" x14ac:dyDescent="0.25">
      <c r="A546" s="164" t="s">
        <v>832</v>
      </c>
      <c r="B546" s="164" t="s">
        <v>767</v>
      </c>
      <c r="C546" s="174" t="s">
        <v>245</v>
      </c>
      <c r="D546" s="173">
        <v>9191191599</v>
      </c>
      <c r="E546" s="172">
        <v>160184934</v>
      </c>
      <c r="F546" s="164" t="s">
        <v>261</v>
      </c>
      <c r="G546" s="171">
        <v>35521</v>
      </c>
      <c r="H546" s="54">
        <f ca="1">DATEDIF(G546,TODAY(),"Y")</f>
        <v>19</v>
      </c>
      <c r="I546" s="170" t="str">
        <f>CHOOSE(MONTH(G546),"January","February","March","April","May","June","July","August","September","October","November","December")</f>
        <v>April</v>
      </c>
      <c r="J546" s="55" t="s">
        <v>283</v>
      </c>
      <c r="K546" s="56">
        <v>12840</v>
      </c>
      <c r="L546" s="169">
        <v>4</v>
      </c>
    </row>
    <row r="547" spans="1:12" x14ac:dyDescent="0.25">
      <c r="A547" s="164" t="s">
        <v>913</v>
      </c>
      <c r="B547" s="164" t="s">
        <v>767</v>
      </c>
      <c r="C547" s="174" t="s">
        <v>271</v>
      </c>
      <c r="D547" s="173">
        <v>2528687353</v>
      </c>
      <c r="E547" s="172">
        <v>191359642</v>
      </c>
      <c r="F547" s="164" t="s">
        <v>256</v>
      </c>
      <c r="G547" s="171">
        <v>34089</v>
      </c>
      <c r="H547" s="54">
        <f ca="1">DATEDIF(G547,TODAY(),"Y")</f>
        <v>23</v>
      </c>
      <c r="I547" s="170" t="str">
        <f>CHOOSE(MONTH(G547),"January","February","March","April","May","June","July","August","September","October","November","December")</f>
        <v>April</v>
      </c>
      <c r="J547" s="55" t="s">
        <v>257</v>
      </c>
      <c r="K547" s="56">
        <v>28908</v>
      </c>
      <c r="L547" s="169">
        <v>4</v>
      </c>
    </row>
    <row r="548" spans="1:12" x14ac:dyDescent="0.25">
      <c r="A548" s="164" t="s">
        <v>739</v>
      </c>
      <c r="B548" s="164" t="s">
        <v>767</v>
      </c>
      <c r="C548" s="174" t="s">
        <v>285</v>
      </c>
      <c r="D548" s="173">
        <v>2528842613</v>
      </c>
      <c r="E548" s="172">
        <v>967035612</v>
      </c>
      <c r="F548" s="164" t="s">
        <v>256</v>
      </c>
      <c r="G548" s="171">
        <v>34877</v>
      </c>
      <c r="H548" s="54">
        <f ca="1">DATEDIF(G548,TODAY(),"Y")</f>
        <v>21</v>
      </c>
      <c r="I548" s="170" t="str">
        <f>CHOOSE(MONTH(G548),"January","February","March","April","May","June","July","August","September","October","November","December")</f>
        <v>June</v>
      </c>
      <c r="J548" s="55" t="s">
        <v>276</v>
      </c>
      <c r="K548" s="56">
        <v>76128</v>
      </c>
      <c r="L548" s="169">
        <v>3</v>
      </c>
    </row>
    <row r="549" spans="1:12" x14ac:dyDescent="0.25">
      <c r="A549" s="164" t="s">
        <v>447</v>
      </c>
      <c r="B549" s="164" t="s">
        <v>767</v>
      </c>
      <c r="C549" s="174" t="s">
        <v>266</v>
      </c>
      <c r="D549" s="173">
        <v>2524078104</v>
      </c>
      <c r="E549" s="172">
        <v>920265140</v>
      </c>
      <c r="F549" s="164" t="s">
        <v>256</v>
      </c>
      <c r="G549" s="171">
        <v>39518</v>
      </c>
      <c r="H549" s="54">
        <f ca="1">DATEDIF(G549,TODAY(),"Y")</f>
        <v>8</v>
      </c>
      <c r="I549" s="170" t="str">
        <f>CHOOSE(MONTH(G549),"January","February","March","April","May","June","July","August","September","October","November","December")</f>
        <v>March</v>
      </c>
      <c r="J549" s="55" t="s">
        <v>262</v>
      </c>
      <c r="K549" s="56">
        <v>75226</v>
      </c>
      <c r="L549" s="169">
        <v>3</v>
      </c>
    </row>
    <row r="550" spans="1:12" x14ac:dyDescent="0.25">
      <c r="A550" s="164" t="s">
        <v>596</v>
      </c>
      <c r="B550" s="164" t="s">
        <v>767</v>
      </c>
      <c r="C550" s="174" t="s">
        <v>251</v>
      </c>
      <c r="D550" s="173">
        <v>9192917217</v>
      </c>
      <c r="E550" s="172">
        <v>698472533</v>
      </c>
      <c r="F550" s="164" t="s">
        <v>247</v>
      </c>
      <c r="G550" s="171">
        <v>36427</v>
      </c>
      <c r="H550" s="54">
        <f ca="1">DATEDIF(G550,TODAY(),"Y")</f>
        <v>17</v>
      </c>
      <c r="I550" s="170" t="str">
        <f>CHOOSE(MONTH(G550),"January","February","March","April","May","June","July","August","September","October","November","December")</f>
        <v>September</v>
      </c>
      <c r="J550" s="55"/>
      <c r="K550" s="56">
        <v>43476</v>
      </c>
      <c r="L550" s="169">
        <v>2</v>
      </c>
    </row>
    <row r="551" spans="1:12" x14ac:dyDescent="0.25">
      <c r="A551" s="164" t="s">
        <v>917</v>
      </c>
      <c r="B551" s="164" t="s">
        <v>767</v>
      </c>
      <c r="C551" s="174" t="s">
        <v>245</v>
      </c>
      <c r="D551" s="173">
        <v>2522238535</v>
      </c>
      <c r="E551" s="172">
        <v>570756015</v>
      </c>
      <c r="F551" s="164" t="s">
        <v>261</v>
      </c>
      <c r="G551" s="171">
        <v>41149</v>
      </c>
      <c r="H551" s="54">
        <f ca="1">DATEDIF(G551,TODAY(),"Y")</f>
        <v>4</v>
      </c>
      <c r="I551" s="170" t="str">
        <f>CHOOSE(MONTH(G551),"January","February","March","April","May","June","July","August","September","October","November","December")</f>
        <v>August</v>
      </c>
      <c r="J551" s="55" t="s">
        <v>262</v>
      </c>
      <c r="K551" s="56">
        <v>59226</v>
      </c>
      <c r="L551" s="169">
        <v>5</v>
      </c>
    </row>
    <row r="552" spans="1:12" x14ac:dyDescent="0.25">
      <c r="A552" s="164" t="s">
        <v>670</v>
      </c>
      <c r="B552" s="164" t="s">
        <v>767</v>
      </c>
      <c r="C552" s="174" t="s">
        <v>285</v>
      </c>
      <c r="D552" s="173">
        <v>2522792063</v>
      </c>
      <c r="E552" s="172">
        <v>963000861</v>
      </c>
      <c r="F552" s="164" t="s">
        <v>247</v>
      </c>
      <c r="G552" s="171">
        <v>35874</v>
      </c>
      <c r="H552" s="54">
        <f ca="1">DATEDIF(G552,TODAY(),"Y")</f>
        <v>18</v>
      </c>
      <c r="I552" s="170" t="str">
        <f>CHOOSE(MONTH(G552),"January","February","March","April","May","June","July","August","September","October","November","December")</f>
        <v>March</v>
      </c>
      <c r="J552" s="55"/>
      <c r="K552" s="56">
        <v>87828</v>
      </c>
      <c r="L552" s="169">
        <v>1</v>
      </c>
    </row>
    <row r="553" spans="1:12" x14ac:dyDescent="0.25">
      <c r="A553" s="164" t="s">
        <v>287</v>
      </c>
      <c r="B553" s="164" t="s">
        <v>767</v>
      </c>
      <c r="C553" s="174" t="s">
        <v>271</v>
      </c>
      <c r="D553" s="173">
        <v>9196245634</v>
      </c>
      <c r="E553" s="172">
        <v>990843236</v>
      </c>
      <c r="F553" s="164" t="s">
        <v>256</v>
      </c>
      <c r="G553" s="171">
        <v>39775</v>
      </c>
      <c r="H553" s="54">
        <f ca="1">DATEDIF(G553,TODAY(),"Y")</f>
        <v>7</v>
      </c>
      <c r="I553" s="170" t="str">
        <f>CHOOSE(MONTH(G553),"January","February","March","April","May","June","July","August","September","October","November","December")</f>
        <v>November</v>
      </c>
      <c r="J553" s="55" t="s">
        <v>283</v>
      </c>
      <c r="K553" s="56">
        <v>79056</v>
      </c>
      <c r="L553" s="169">
        <v>5</v>
      </c>
    </row>
    <row r="554" spans="1:12" x14ac:dyDescent="0.25">
      <c r="A554" s="164" t="s">
        <v>841</v>
      </c>
      <c r="B554" s="164" t="s">
        <v>767</v>
      </c>
      <c r="C554" s="174" t="s">
        <v>251</v>
      </c>
      <c r="D554" s="173">
        <v>9193182167</v>
      </c>
      <c r="E554" s="172">
        <v>618775364</v>
      </c>
      <c r="F554" s="164" t="s">
        <v>261</v>
      </c>
      <c r="G554" s="171">
        <v>40982</v>
      </c>
      <c r="H554" s="54">
        <f ca="1">DATEDIF(G554,TODAY(),"Y")</f>
        <v>4</v>
      </c>
      <c r="I554" s="170" t="str">
        <f>CHOOSE(MONTH(G554),"January","February","March","April","May","June","July","August","September","October","November","December")</f>
        <v>March</v>
      </c>
      <c r="J554" s="55" t="s">
        <v>283</v>
      </c>
      <c r="K554" s="56">
        <v>58440</v>
      </c>
      <c r="L554" s="169">
        <v>3</v>
      </c>
    </row>
    <row r="555" spans="1:12" x14ac:dyDescent="0.25">
      <c r="A555" s="164" t="s">
        <v>744</v>
      </c>
      <c r="B555" s="164" t="s">
        <v>767</v>
      </c>
      <c r="C555" s="174" t="s">
        <v>285</v>
      </c>
      <c r="D555" s="173">
        <v>9193552027</v>
      </c>
      <c r="E555" s="172">
        <v>965916299</v>
      </c>
      <c r="F555" s="164" t="s">
        <v>256</v>
      </c>
      <c r="G555" s="171">
        <v>36421</v>
      </c>
      <c r="H555" s="54">
        <f ca="1">DATEDIF(G555,TODAY(),"Y")</f>
        <v>17</v>
      </c>
      <c r="I555" s="170" t="str">
        <f>CHOOSE(MONTH(G555),"January","February","March","April","May","June","July","August","September","October","November","December")</f>
        <v>September</v>
      </c>
      <c r="J555" s="55" t="s">
        <v>262</v>
      </c>
      <c r="K555" s="56">
        <v>29208</v>
      </c>
      <c r="L555" s="169">
        <v>4</v>
      </c>
    </row>
    <row r="556" spans="1:12" x14ac:dyDescent="0.25">
      <c r="A556" s="164" t="s">
        <v>362</v>
      </c>
      <c r="B556" s="164" t="s">
        <v>767</v>
      </c>
      <c r="C556" s="174" t="s">
        <v>271</v>
      </c>
      <c r="D556" s="173">
        <v>9198561246</v>
      </c>
      <c r="E556" s="172">
        <v>278129861</v>
      </c>
      <c r="F556" s="164" t="s">
        <v>247</v>
      </c>
      <c r="G556" s="171">
        <v>41132</v>
      </c>
      <c r="H556" s="54">
        <f ca="1">DATEDIF(G556,TODAY(),"Y")</f>
        <v>4</v>
      </c>
      <c r="I556" s="170" t="str">
        <f>CHOOSE(MONTH(G556),"January","February","March","April","May","June","July","August","September","October","November","December")</f>
        <v>August</v>
      </c>
      <c r="J556" s="55"/>
      <c r="K556" s="56">
        <v>47460</v>
      </c>
      <c r="L556" s="169">
        <v>5</v>
      </c>
    </row>
    <row r="557" spans="1:12" x14ac:dyDescent="0.25">
      <c r="A557" s="164" t="s">
        <v>449</v>
      </c>
      <c r="B557" s="164" t="s">
        <v>767</v>
      </c>
      <c r="C557" s="174" t="s">
        <v>271</v>
      </c>
      <c r="D557" s="173">
        <v>9193279828</v>
      </c>
      <c r="E557" s="172">
        <v>924942231</v>
      </c>
      <c r="F557" s="164" t="s">
        <v>261</v>
      </c>
      <c r="G557" s="171">
        <v>40894</v>
      </c>
      <c r="H557" s="54">
        <f ca="1">DATEDIF(G557,TODAY(),"Y")</f>
        <v>4</v>
      </c>
      <c r="I557" s="170" t="str">
        <f>CHOOSE(MONTH(G557),"January","February","March","April","May","June","July","August","September","October","November","December")</f>
        <v>December</v>
      </c>
      <c r="J557" s="55" t="s">
        <v>276</v>
      </c>
      <c r="K557" s="56">
        <v>30294</v>
      </c>
      <c r="L557" s="169">
        <v>5</v>
      </c>
    </row>
    <row r="558" spans="1:12" x14ac:dyDescent="0.25">
      <c r="A558" s="164" t="s">
        <v>607</v>
      </c>
      <c r="B558" s="164" t="s">
        <v>767</v>
      </c>
      <c r="C558" s="174" t="s">
        <v>271</v>
      </c>
      <c r="D558" s="173">
        <v>2522639452</v>
      </c>
      <c r="E558" s="172">
        <v>209846975</v>
      </c>
      <c r="F558" s="164" t="s">
        <v>261</v>
      </c>
      <c r="G558" s="171">
        <v>37977</v>
      </c>
      <c r="H558" s="54">
        <f ca="1">DATEDIF(G558,TODAY(),"Y")</f>
        <v>12</v>
      </c>
      <c r="I558" s="170" t="str">
        <f>CHOOSE(MONTH(G558),"January","February","March","April","May","June","July","August","September","October","November","December")</f>
        <v>December</v>
      </c>
      <c r="J558" s="55" t="s">
        <v>276</v>
      </c>
      <c r="K558" s="56">
        <v>15054</v>
      </c>
      <c r="L558" s="169">
        <v>4</v>
      </c>
    </row>
    <row r="559" spans="1:12" x14ac:dyDescent="0.25">
      <c r="A559" s="164" t="s">
        <v>609</v>
      </c>
      <c r="B559" s="164" t="s">
        <v>767</v>
      </c>
      <c r="C559" s="174" t="s">
        <v>245</v>
      </c>
      <c r="D559" s="173">
        <v>9196114005</v>
      </c>
      <c r="E559" s="172">
        <v>452255054</v>
      </c>
      <c r="F559" s="164" t="s">
        <v>247</v>
      </c>
      <c r="G559" s="171">
        <v>34306</v>
      </c>
      <c r="H559" s="54">
        <f ca="1">DATEDIF(G559,TODAY(),"Y")</f>
        <v>22</v>
      </c>
      <c r="I559" s="170" t="str">
        <f>CHOOSE(MONTH(G559),"January","February","March","April","May","June","July","August","September","October","November","December")</f>
        <v>December</v>
      </c>
      <c r="J559" s="55"/>
      <c r="K559" s="56">
        <v>61008</v>
      </c>
      <c r="L559" s="169">
        <v>4</v>
      </c>
    </row>
    <row r="560" spans="1:12" x14ac:dyDescent="0.25">
      <c r="A560" s="164" t="s">
        <v>364</v>
      </c>
      <c r="B560" s="164" t="s">
        <v>767</v>
      </c>
      <c r="C560" s="174" t="s">
        <v>271</v>
      </c>
      <c r="D560" s="173">
        <v>2527557761</v>
      </c>
      <c r="E560" s="172">
        <v>505680981</v>
      </c>
      <c r="F560" s="164" t="s">
        <v>256</v>
      </c>
      <c r="G560" s="171">
        <v>37866</v>
      </c>
      <c r="H560" s="54">
        <f ca="1">DATEDIF(G560,TODAY(),"Y")</f>
        <v>13</v>
      </c>
      <c r="I560" s="170" t="str">
        <f>CHOOSE(MONTH(G560),"January","February","March","April","May","June","July","August","September","October","November","December")</f>
        <v>September</v>
      </c>
      <c r="J560" s="55" t="s">
        <v>257</v>
      </c>
      <c r="K560" s="56">
        <v>34956</v>
      </c>
      <c r="L560" s="169">
        <v>1</v>
      </c>
    </row>
    <row r="561" spans="1:12" x14ac:dyDescent="0.25">
      <c r="A561" s="164" t="s">
        <v>763</v>
      </c>
      <c r="B561" s="164" t="s">
        <v>767</v>
      </c>
      <c r="C561" s="174" t="s">
        <v>285</v>
      </c>
      <c r="D561" s="173">
        <v>9196650531</v>
      </c>
      <c r="E561" s="172">
        <v>475671127</v>
      </c>
      <c r="F561" s="164" t="s">
        <v>256</v>
      </c>
      <c r="G561" s="171">
        <v>36686</v>
      </c>
      <c r="H561" s="54">
        <f ca="1">DATEDIF(G561,TODAY(),"Y")</f>
        <v>16</v>
      </c>
      <c r="I561" s="170" t="str">
        <f>CHOOSE(MONTH(G561),"January","February","March","April","May","June","July","August","September","October","November","December")</f>
        <v>June</v>
      </c>
      <c r="J561" s="55" t="s">
        <v>283</v>
      </c>
      <c r="K561" s="56">
        <v>73704</v>
      </c>
      <c r="L561" s="169">
        <v>4</v>
      </c>
    </row>
    <row r="562" spans="1:12" x14ac:dyDescent="0.25">
      <c r="A562" s="164" t="s">
        <v>367</v>
      </c>
      <c r="B562" s="164" t="s">
        <v>767</v>
      </c>
      <c r="C562" s="174" t="s">
        <v>245</v>
      </c>
      <c r="D562" s="173">
        <v>9194630903</v>
      </c>
      <c r="E562" s="172">
        <v>991221095</v>
      </c>
      <c r="F562" s="164" t="s">
        <v>256</v>
      </c>
      <c r="G562" s="171">
        <v>35879</v>
      </c>
      <c r="H562" s="54">
        <f ca="1">DATEDIF(G562,TODAY(),"Y")</f>
        <v>18</v>
      </c>
      <c r="I562" s="170" t="str">
        <f>CHOOSE(MONTH(G562),"January","February","March","April","May","June","July","August","September","October","November","December")</f>
        <v>March</v>
      </c>
      <c r="J562" s="55" t="s">
        <v>276</v>
      </c>
      <c r="K562" s="56">
        <v>35712</v>
      </c>
      <c r="L562" s="169">
        <v>2</v>
      </c>
    </row>
    <row r="563" spans="1:12" x14ac:dyDescent="0.25">
      <c r="A563" s="164" t="s">
        <v>1021</v>
      </c>
      <c r="B563" s="164" t="s">
        <v>767</v>
      </c>
      <c r="C563" s="174" t="s">
        <v>245</v>
      </c>
      <c r="D563" s="173">
        <v>9198400261</v>
      </c>
      <c r="E563" s="172">
        <v>525699951</v>
      </c>
      <c r="F563" s="164" t="s">
        <v>252</v>
      </c>
      <c r="G563" s="171">
        <v>36674</v>
      </c>
      <c r="H563" s="54">
        <f ca="1">DATEDIF(G563,TODAY(),"Y")</f>
        <v>16</v>
      </c>
      <c r="I563" s="170" t="str">
        <f>CHOOSE(MONTH(G563),"January","February","March","April","May","June","July","August","September","October","November","December")</f>
        <v>May</v>
      </c>
      <c r="J563" s="55"/>
      <c r="K563" s="56">
        <v>17198</v>
      </c>
      <c r="L563" s="169">
        <v>5</v>
      </c>
    </row>
    <row r="564" spans="1:12" x14ac:dyDescent="0.25">
      <c r="A564" s="164" t="s">
        <v>369</v>
      </c>
      <c r="B564" s="164" t="s">
        <v>767</v>
      </c>
      <c r="C564" s="174" t="s">
        <v>271</v>
      </c>
      <c r="D564" s="173">
        <v>2526712695</v>
      </c>
      <c r="E564" s="172">
        <v>113252240</v>
      </c>
      <c r="F564" s="164" t="s">
        <v>256</v>
      </c>
      <c r="G564" s="171">
        <v>37264</v>
      </c>
      <c r="H564" s="54">
        <f ca="1">DATEDIF(G564,TODAY(),"Y")</f>
        <v>14</v>
      </c>
      <c r="I564" s="170" t="str">
        <f>CHOOSE(MONTH(G564),"January","February","March","April","May","June","July","August","September","October","November","December")</f>
        <v>January</v>
      </c>
      <c r="J564" s="55" t="s">
        <v>257</v>
      </c>
      <c r="K564" s="56">
        <v>74880</v>
      </c>
      <c r="L564" s="169">
        <v>4</v>
      </c>
    </row>
    <row r="565" spans="1:12" x14ac:dyDescent="0.25">
      <c r="A565" s="164" t="s">
        <v>305</v>
      </c>
      <c r="B565" s="164" t="s">
        <v>767</v>
      </c>
      <c r="C565" s="174" t="s">
        <v>271</v>
      </c>
      <c r="D565" s="173">
        <v>9195442791</v>
      </c>
      <c r="E565" s="172">
        <v>313358310</v>
      </c>
      <c r="F565" s="164" t="s">
        <v>256</v>
      </c>
      <c r="G565" s="171">
        <v>34950</v>
      </c>
      <c r="H565" s="54">
        <f ca="1">DATEDIF(G565,TODAY(),"Y")</f>
        <v>21</v>
      </c>
      <c r="I565" s="170" t="str">
        <f>CHOOSE(MONTH(G565),"January","February","March","April","May","June","July","August","September","October","November","December")</f>
        <v>September</v>
      </c>
      <c r="J565" s="55" t="s">
        <v>257</v>
      </c>
      <c r="K565" s="56">
        <v>75226</v>
      </c>
      <c r="L565" s="169">
        <v>2</v>
      </c>
    </row>
    <row r="566" spans="1:12" x14ac:dyDescent="0.25">
      <c r="A566" s="164" t="s">
        <v>390</v>
      </c>
      <c r="B566" s="164" t="s">
        <v>856</v>
      </c>
      <c r="C566" s="174" t="s">
        <v>285</v>
      </c>
      <c r="D566" s="173">
        <v>9194479196</v>
      </c>
      <c r="E566" s="172">
        <v>323701315</v>
      </c>
      <c r="F566" s="164" t="s">
        <v>256</v>
      </c>
      <c r="G566" s="171">
        <v>41309</v>
      </c>
      <c r="H566" s="54">
        <f ca="1">DATEDIF(G566,TODAY(),"Y")</f>
        <v>3</v>
      </c>
      <c r="I566" s="170" t="str">
        <f>CHOOSE(MONTH(G566),"January","February","March","April","May","June","July","August","September","October","November","December")</f>
        <v>February</v>
      </c>
      <c r="J566" s="55" t="s">
        <v>267</v>
      </c>
      <c r="K566" s="56">
        <v>96312</v>
      </c>
      <c r="L566" s="169">
        <v>3</v>
      </c>
    </row>
    <row r="567" spans="1:12" x14ac:dyDescent="0.25">
      <c r="A567" s="164" t="s">
        <v>704</v>
      </c>
      <c r="B567" s="164" t="s">
        <v>856</v>
      </c>
      <c r="C567" s="174" t="s">
        <v>271</v>
      </c>
      <c r="D567" s="173">
        <v>9198252392</v>
      </c>
      <c r="E567" s="172">
        <v>412159105</v>
      </c>
      <c r="F567" s="164" t="s">
        <v>252</v>
      </c>
      <c r="G567" s="171">
        <v>36130</v>
      </c>
      <c r="H567" s="54">
        <f ca="1">DATEDIF(G567,TODAY(),"Y")</f>
        <v>17</v>
      </c>
      <c r="I567" s="170" t="str">
        <f>CHOOSE(MONTH(G567),"January","February","March","April","May","June","July","August","September","October","November","December")</f>
        <v>December</v>
      </c>
      <c r="J567" s="55"/>
      <c r="K567" s="56">
        <v>40210</v>
      </c>
      <c r="L567" s="169">
        <v>4</v>
      </c>
    </row>
    <row r="568" spans="1:12" x14ac:dyDescent="0.25">
      <c r="A568" s="164" t="s">
        <v>469</v>
      </c>
      <c r="B568" s="164" t="s">
        <v>856</v>
      </c>
      <c r="C568" s="174" t="s">
        <v>245</v>
      </c>
      <c r="D568" s="173">
        <v>2524563177</v>
      </c>
      <c r="E568" s="172">
        <v>291274360</v>
      </c>
      <c r="F568" s="164" t="s">
        <v>256</v>
      </c>
      <c r="G568" s="171">
        <v>36809</v>
      </c>
      <c r="H568" s="54">
        <f ca="1">DATEDIF(G568,TODAY(),"Y")</f>
        <v>16</v>
      </c>
      <c r="I568" s="170" t="str">
        <f>CHOOSE(MONTH(G568),"January","February","March","April","May","June","July","August","September","October","November","December")</f>
        <v>October</v>
      </c>
      <c r="J568" s="55" t="s">
        <v>283</v>
      </c>
      <c r="K568" s="56">
        <v>80888</v>
      </c>
      <c r="L568" s="169">
        <v>5</v>
      </c>
    </row>
    <row r="569" spans="1:12" x14ac:dyDescent="0.25">
      <c r="A569" s="164" t="s">
        <v>306</v>
      </c>
      <c r="B569" s="164" t="s">
        <v>856</v>
      </c>
      <c r="C569" s="174" t="s">
        <v>271</v>
      </c>
      <c r="D569" s="173">
        <v>2521868104</v>
      </c>
      <c r="E569" s="172">
        <v>102159909</v>
      </c>
      <c r="F569" s="164" t="s">
        <v>252</v>
      </c>
      <c r="G569" s="171">
        <v>35073</v>
      </c>
      <c r="H569" s="54">
        <f ca="1">DATEDIF(G569,TODAY(),"Y")</f>
        <v>20</v>
      </c>
      <c r="I569" s="170" t="str">
        <f>CHOOSE(MONTH(G569),"January","February","March","April","May","June","July","August","September","October","November","December")</f>
        <v>January</v>
      </c>
      <c r="J569" s="55"/>
      <c r="K569" s="56">
        <v>44146</v>
      </c>
      <c r="L569" s="169">
        <v>4</v>
      </c>
    </row>
    <row r="570" spans="1:12" x14ac:dyDescent="0.25">
      <c r="A570" s="164" t="s">
        <v>935</v>
      </c>
      <c r="B570" s="164" t="s">
        <v>856</v>
      </c>
      <c r="C570" s="174" t="s">
        <v>271</v>
      </c>
      <c r="D570" s="173">
        <v>2523838954</v>
      </c>
      <c r="E570" s="172">
        <v>709234421</v>
      </c>
      <c r="F570" s="164" t="s">
        <v>256</v>
      </c>
      <c r="G570" s="171">
        <v>35482</v>
      </c>
      <c r="H570" s="54">
        <f ca="1">DATEDIF(G570,TODAY(),"Y")</f>
        <v>19</v>
      </c>
      <c r="I570" s="170" t="str">
        <f>CHOOSE(MONTH(G570),"January","February","March","April","May","June","July","August","September","October","November","December")</f>
        <v>February</v>
      </c>
      <c r="J570" s="55" t="s">
        <v>257</v>
      </c>
      <c r="K570" s="56">
        <v>46800</v>
      </c>
      <c r="L570" s="169">
        <v>5</v>
      </c>
    </row>
    <row r="571" spans="1:12" x14ac:dyDescent="0.25">
      <c r="A571" s="164" t="s">
        <v>865</v>
      </c>
      <c r="B571" s="164" t="s">
        <v>856</v>
      </c>
      <c r="C571" s="174" t="s">
        <v>285</v>
      </c>
      <c r="D571" s="173">
        <v>9197963782</v>
      </c>
      <c r="E571" s="172">
        <v>110726520</v>
      </c>
      <c r="F571" s="164" t="s">
        <v>256</v>
      </c>
      <c r="G571" s="171">
        <v>36225</v>
      </c>
      <c r="H571" s="54">
        <f ca="1">DATEDIF(G571,TODAY(),"Y")</f>
        <v>17</v>
      </c>
      <c r="I571" s="170" t="str">
        <f>CHOOSE(MONTH(G571),"January","February","March","April","May","June","July","August","September","October","November","December")</f>
        <v>March</v>
      </c>
      <c r="J571" s="55" t="s">
        <v>257</v>
      </c>
      <c r="K571" s="56">
        <v>94452</v>
      </c>
      <c r="L571" s="169">
        <v>4</v>
      </c>
    </row>
    <row r="572" spans="1:12" x14ac:dyDescent="0.25">
      <c r="A572" s="164" t="s">
        <v>477</v>
      </c>
      <c r="B572" s="164" t="s">
        <v>856</v>
      </c>
      <c r="C572" s="174" t="s">
        <v>271</v>
      </c>
      <c r="D572" s="173">
        <v>9195804771</v>
      </c>
      <c r="E572" s="172">
        <v>718930584</v>
      </c>
      <c r="F572" s="164" t="s">
        <v>261</v>
      </c>
      <c r="G572" s="171">
        <v>36924</v>
      </c>
      <c r="H572" s="54">
        <f ca="1">DATEDIF(G572,TODAY(),"Y")</f>
        <v>15</v>
      </c>
      <c r="I572" s="170" t="str">
        <f>CHOOSE(MONTH(G572),"January","February","March","April","May","June","July","August","September","October","November","December")</f>
        <v>February</v>
      </c>
      <c r="J572" s="55" t="s">
        <v>257</v>
      </c>
      <c r="K572" s="56">
        <v>41976</v>
      </c>
      <c r="L572" s="169">
        <v>2</v>
      </c>
    </row>
    <row r="573" spans="1:12" x14ac:dyDescent="0.25">
      <c r="A573" s="164" t="s">
        <v>867</v>
      </c>
      <c r="B573" s="164" t="s">
        <v>856</v>
      </c>
      <c r="C573" s="174" t="s">
        <v>285</v>
      </c>
      <c r="D573" s="176">
        <v>9193355152</v>
      </c>
      <c r="E573" s="172">
        <v>784064156</v>
      </c>
      <c r="F573" s="164" t="s">
        <v>256</v>
      </c>
      <c r="G573" s="171">
        <v>34332</v>
      </c>
      <c r="H573" s="54">
        <f ca="1">DATEDIF(G573,TODAY(),"Y")</f>
        <v>22</v>
      </c>
      <c r="I573" s="170" t="str">
        <f>CHOOSE(MONTH(G573),"January","February","March","April","May","June","July","August","September","October","November","December")</f>
        <v>December</v>
      </c>
      <c r="J573" s="55" t="s">
        <v>257</v>
      </c>
      <c r="K573" s="56">
        <v>65796</v>
      </c>
      <c r="L573" s="169">
        <v>1</v>
      </c>
    </row>
    <row r="574" spans="1:12" x14ac:dyDescent="0.25">
      <c r="A574" s="164" t="s">
        <v>457</v>
      </c>
      <c r="B574" s="164" t="s">
        <v>856</v>
      </c>
      <c r="C574" s="174" t="s">
        <v>266</v>
      </c>
      <c r="D574" s="173">
        <v>2528502926</v>
      </c>
      <c r="E574" s="172">
        <v>781472289</v>
      </c>
      <c r="F574" s="164" t="s">
        <v>256</v>
      </c>
      <c r="G574" s="171">
        <v>34276</v>
      </c>
      <c r="H574" s="54">
        <f ca="1">DATEDIF(G574,TODAY(),"Y")</f>
        <v>23</v>
      </c>
      <c r="I574" s="170" t="str">
        <f>CHOOSE(MONTH(G574),"January","February","March","April","May","June","July","August","September","October","November","December")</f>
        <v>November</v>
      </c>
      <c r="J574" s="55" t="s">
        <v>283</v>
      </c>
      <c r="K574" s="56">
        <v>75660</v>
      </c>
      <c r="L574" s="169">
        <v>3</v>
      </c>
    </row>
    <row r="575" spans="1:12" x14ac:dyDescent="0.25">
      <c r="A575" s="164" t="s">
        <v>491</v>
      </c>
      <c r="B575" s="164" t="s">
        <v>856</v>
      </c>
      <c r="C575" s="174" t="s">
        <v>271</v>
      </c>
      <c r="D575" s="173">
        <v>9192390604</v>
      </c>
      <c r="E575" s="172">
        <v>975857784</v>
      </c>
      <c r="F575" s="164" t="s">
        <v>247</v>
      </c>
      <c r="G575" s="171">
        <v>37370</v>
      </c>
      <c r="H575" s="54">
        <f ca="1">DATEDIF(G575,TODAY(),"Y")</f>
        <v>14</v>
      </c>
      <c r="I575" s="170" t="str">
        <f>CHOOSE(MONTH(G575),"January","February","March","April","May","June","July","August","September","October","November","December")</f>
        <v>April</v>
      </c>
      <c r="J575" s="55"/>
      <c r="K575" s="56">
        <v>93312</v>
      </c>
      <c r="L575" s="169">
        <v>3</v>
      </c>
    </row>
    <row r="576" spans="1:12" x14ac:dyDescent="0.25">
      <c r="A576" s="164" t="s">
        <v>420</v>
      </c>
      <c r="B576" s="164" t="s">
        <v>856</v>
      </c>
      <c r="C576" s="174" t="s">
        <v>280</v>
      </c>
      <c r="D576" s="173">
        <v>9198244224</v>
      </c>
      <c r="E576" s="172">
        <v>269873478</v>
      </c>
      <c r="F576" s="164" t="s">
        <v>256</v>
      </c>
      <c r="G576" s="171">
        <v>36443</v>
      </c>
      <c r="H576" s="54">
        <f ca="1">DATEDIF(G576,TODAY(),"Y")</f>
        <v>17</v>
      </c>
      <c r="I576" s="170" t="str">
        <f>CHOOSE(MONTH(G576),"January","February","March","April","May","June","July","August","September","October","November","December")</f>
        <v>October</v>
      </c>
      <c r="J576" s="55" t="s">
        <v>283</v>
      </c>
      <c r="K576" s="56">
        <v>38544</v>
      </c>
      <c r="L576" s="169">
        <v>1</v>
      </c>
    </row>
    <row r="577" spans="1:12" x14ac:dyDescent="0.25">
      <c r="A577" s="164" t="s">
        <v>499</v>
      </c>
      <c r="B577" s="164" t="s">
        <v>856</v>
      </c>
      <c r="C577" s="174" t="s">
        <v>251</v>
      </c>
      <c r="D577" s="173">
        <v>9192822520</v>
      </c>
      <c r="E577" s="172">
        <v>626501093</v>
      </c>
      <c r="F577" s="164" t="s">
        <v>247</v>
      </c>
      <c r="G577" s="171">
        <v>38755</v>
      </c>
      <c r="H577" s="54">
        <f ca="1">DATEDIF(G577,TODAY(),"Y")</f>
        <v>10</v>
      </c>
      <c r="I577" s="170" t="str">
        <f>CHOOSE(MONTH(G577),"January","February","March","April","May","June","July","August","September","October","November","December")</f>
        <v>February</v>
      </c>
      <c r="J577" s="55"/>
      <c r="K577" s="56">
        <v>77508</v>
      </c>
      <c r="L577" s="169">
        <v>1</v>
      </c>
    </row>
    <row r="578" spans="1:12" x14ac:dyDescent="0.25">
      <c r="A578" s="164" t="s">
        <v>752</v>
      </c>
      <c r="B578" s="164" t="s">
        <v>856</v>
      </c>
      <c r="C578" s="174" t="s">
        <v>266</v>
      </c>
      <c r="D578" s="173">
        <v>9191155509</v>
      </c>
      <c r="E578" s="172">
        <v>878902154</v>
      </c>
      <c r="F578" s="164" t="s">
        <v>261</v>
      </c>
      <c r="G578" s="171">
        <v>34618</v>
      </c>
      <c r="H578" s="54">
        <f ca="1">DATEDIF(G578,TODAY(),"Y")</f>
        <v>22</v>
      </c>
      <c r="I578" s="170" t="str">
        <f>CHOOSE(MONTH(G578),"January","February","March","April","May","June","July","August","September","October","November","December")</f>
        <v>October</v>
      </c>
      <c r="J578" s="55" t="s">
        <v>283</v>
      </c>
      <c r="K578" s="56">
        <v>31062</v>
      </c>
      <c r="L578" s="169">
        <v>5</v>
      </c>
    </row>
    <row r="579" spans="1:12" x14ac:dyDescent="0.25">
      <c r="A579" s="164" t="s">
        <v>872</v>
      </c>
      <c r="B579" s="164" t="s">
        <v>856</v>
      </c>
      <c r="C579" s="174" t="s">
        <v>285</v>
      </c>
      <c r="D579" s="173">
        <v>9196098293</v>
      </c>
      <c r="E579" s="172">
        <v>744830329</v>
      </c>
      <c r="F579" s="164" t="s">
        <v>256</v>
      </c>
      <c r="G579" s="171">
        <v>35528</v>
      </c>
      <c r="H579" s="54">
        <f ca="1">DATEDIF(G579,TODAY(),"Y")</f>
        <v>19</v>
      </c>
      <c r="I579" s="170" t="str">
        <f>CHOOSE(MONTH(G579),"January","February","March","April","May","June","July","August","September","October","November","December")</f>
        <v>April</v>
      </c>
      <c r="J579" s="55" t="s">
        <v>262</v>
      </c>
      <c r="K579" s="56">
        <v>99240</v>
      </c>
      <c r="L579" s="169">
        <v>3</v>
      </c>
    </row>
    <row r="580" spans="1:12" x14ac:dyDescent="0.25">
      <c r="A580" s="164" t="s">
        <v>943</v>
      </c>
      <c r="B580" s="164" t="s">
        <v>856</v>
      </c>
      <c r="C580" s="174" t="s">
        <v>285</v>
      </c>
      <c r="D580" s="173">
        <v>2526801348</v>
      </c>
      <c r="E580" s="172">
        <v>826508763</v>
      </c>
      <c r="F580" s="164" t="s">
        <v>256</v>
      </c>
      <c r="G580" s="171">
        <v>40473</v>
      </c>
      <c r="H580" s="54">
        <f ca="1">DATEDIF(G580,TODAY(),"Y")</f>
        <v>6</v>
      </c>
      <c r="I580" s="170" t="str">
        <f>CHOOSE(MONTH(G580),"January","February","March","April","May","June","July","August","September","October","November","December")</f>
        <v>October</v>
      </c>
      <c r="J580" s="55" t="s">
        <v>283</v>
      </c>
      <c r="K580" s="56">
        <v>35196</v>
      </c>
      <c r="L580" s="169">
        <v>5</v>
      </c>
    </row>
    <row r="581" spans="1:12" x14ac:dyDescent="0.25">
      <c r="A581" s="164" t="s">
        <v>318</v>
      </c>
      <c r="B581" s="164" t="s">
        <v>856</v>
      </c>
      <c r="C581" s="174" t="s">
        <v>285</v>
      </c>
      <c r="D581" s="173">
        <v>2521240785</v>
      </c>
      <c r="E581" s="172">
        <v>647131956</v>
      </c>
      <c r="F581" s="164" t="s">
        <v>256</v>
      </c>
      <c r="G581" s="171">
        <v>39630</v>
      </c>
      <c r="H581" s="54">
        <f ca="1">DATEDIF(G581,TODAY(),"Y")</f>
        <v>8</v>
      </c>
      <c r="I581" s="170" t="str">
        <f>CHOOSE(MONTH(G581),"January","February","March","April","May","June","July","August","September","October","November","December")</f>
        <v>July</v>
      </c>
      <c r="J581" s="55" t="s">
        <v>257</v>
      </c>
      <c r="K581" s="56">
        <v>88272</v>
      </c>
      <c r="L581" s="169">
        <v>3</v>
      </c>
    </row>
    <row r="582" spans="1:12" x14ac:dyDescent="0.25">
      <c r="A582" s="164" t="s">
        <v>945</v>
      </c>
      <c r="B582" s="164" t="s">
        <v>856</v>
      </c>
      <c r="C582" s="174" t="s">
        <v>285</v>
      </c>
      <c r="D582" s="173">
        <v>9194729409</v>
      </c>
      <c r="E582" s="172">
        <v>337411408</v>
      </c>
      <c r="F582" s="164" t="s">
        <v>256</v>
      </c>
      <c r="G582" s="171">
        <v>37254</v>
      </c>
      <c r="H582" s="54">
        <f ca="1">DATEDIF(G582,TODAY(),"Y")</f>
        <v>14</v>
      </c>
      <c r="I582" s="170" t="str">
        <f>CHOOSE(MONTH(G582),"January","February","March","April","May","June","July","August","September","October","November","December")</f>
        <v>December</v>
      </c>
      <c r="J582" s="55" t="s">
        <v>257</v>
      </c>
      <c r="K582" s="56">
        <v>35112</v>
      </c>
      <c r="L582" s="169">
        <v>4</v>
      </c>
    </row>
    <row r="583" spans="1:12" x14ac:dyDescent="0.25">
      <c r="A583" s="164" t="s">
        <v>873</v>
      </c>
      <c r="B583" s="164" t="s">
        <v>856</v>
      </c>
      <c r="C583" s="174" t="s">
        <v>245</v>
      </c>
      <c r="D583" s="173">
        <v>2524316324</v>
      </c>
      <c r="E583" s="172">
        <v>357568979</v>
      </c>
      <c r="F583" s="164" t="s">
        <v>261</v>
      </c>
      <c r="G583" s="171">
        <v>38503</v>
      </c>
      <c r="H583" s="54">
        <f ca="1">DATEDIF(G583,TODAY(),"Y")</f>
        <v>11</v>
      </c>
      <c r="I583" s="170" t="str">
        <f>CHOOSE(MONTH(G583),"January","February","March","April","May","June","July","August","September","October","November","December")</f>
        <v>May</v>
      </c>
      <c r="J583" s="55" t="s">
        <v>262</v>
      </c>
      <c r="K583" s="56">
        <v>34230</v>
      </c>
      <c r="L583" s="169">
        <v>4</v>
      </c>
    </row>
    <row r="584" spans="1:12" x14ac:dyDescent="0.25">
      <c r="A584" s="164" t="s">
        <v>788</v>
      </c>
      <c r="B584" s="164" t="s">
        <v>856</v>
      </c>
      <c r="C584" s="174" t="s">
        <v>245</v>
      </c>
      <c r="D584" s="173">
        <v>2525013435</v>
      </c>
      <c r="E584" s="172">
        <v>765836666</v>
      </c>
      <c r="F584" s="164" t="s">
        <v>256</v>
      </c>
      <c r="G584" s="171">
        <v>39881</v>
      </c>
      <c r="H584" s="54">
        <f ca="1">DATEDIF(G584,TODAY(),"Y")</f>
        <v>7</v>
      </c>
      <c r="I584" s="170" t="str">
        <f>CHOOSE(MONTH(G584),"January","February","March","April","May","June","July","August","September","October","November","December")</f>
        <v>March</v>
      </c>
      <c r="J584" s="55" t="s">
        <v>283</v>
      </c>
      <c r="K584" s="56">
        <v>52320</v>
      </c>
      <c r="L584" s="169">
        <v>5</v>
      </c>
    </row>
    <row r="585" spans="1:12" x14ac:dyDescent="0.25">
      <c r="A585" s="164" t="s">
        <v>512</v>
      </c>
      <c r="B585" s="164" t="s">
        <v>856</v>
      </c>
      <c r="C585" s="174" t="s">
        <v>285</v>
      </c>
      <c r="D585" s="173">
        <v>2522238881</v>
      </c>
      <c r="E585" s="172">
        <v>489667166</v>
      </c>
      <c r="F585" s="164" t="s">
        <v>256</v>
      </c>
      <c r="G585" s="171">
        <v>37135</v>
      </c>
      <c r="H585" s="54">
        <f ca="1">DATEDIF(G585,TODAY(),"Y")</f>
        <v>15</v>
      </c>
      <c r="I585" s="170" t="str">
        <f>CHOOSE(MONTH(G585),"January","February","March","April","May","June","July","August","September","October","November","December")</f>
        <v>September</v>
      </c>
      <c r="J585" s="55" t="s">
        <v>262</v>
      </c>
      <c r="K585" s="56">
        <v>55056</v>
      </c>
      <c r="L585" s="169">
        <v>5</v>
      </c>
    </row>
    <row r="586" spans="1:12" x14ac:dyDescent="0.25">
      <c r="A586" s="164" t="s">
        <v>949</v>
      </c>
      <c r="B586" s="164" t="s">
        <v>856</v>
      </c>
      <c r="C586" s="174" t="s">
        <v>271</v>
      </c>
      <c r="D586" s="173">
        <v>2524111882</v>
      </c>
      <c r="E586" s="172">
        <v>562497973</v>
      </c>
      <c r="F586" s="164" t="s">
        <v>256</v>
      </c>
      <c r="G586" s="171">
        <v>36084</v>
      </c>
      <c r="H586" s="54">
        <f ca="1">DATEDIF(G586,TODAY(),"Y")</f>
        <v>18</v>
      </c>
      <c r="I586" s="170" t="str">
        <f>CHOOSE(MONTH(G586),"January","February","March","April","May","June","July","August","September","October","November","December")</f>
        <v>October</v>
      </c>
      <c r="J586" s="55" t="s">
        <v>262</v>
      </c>
      <c r="K586" s="56">
        <v>75636</v>
      </c>
      <c r="L586" s="169">
        <v>1</v>
      </c>
    </row>
    <row r="587" spans="1:12" x14ac:dyDescent="0.25">
      <c r="A587" s="175" t="s">
        <v>278</v>
      </c>
      <c r="B587" s="164" t="s">
        <v>856</v>
      </c>
      <c r="C587" s="174" t="s">
        <v>285</v>
      </c>
      <c r="D587" s="173">
        <v>2528678875</v>
      </c>
      <c r="E587" s="172">
        <v>331251341</v>
      </c>
      <c r="F587" s="164" t="s">
        <v>256</v>
      </c>
      <c r="G587" s="171">
        <v>36624</v>
      </c>
      <c r="H587" s="54">
        <f ca="1">DATEDIF(G587,TODAY(),"Y")</f>
        <v>16</v>
      </c>
      <c r="I587" s="170" t="str">
        <f>CHOOSE(MONTH(G587),"January","February","March","April","May","June","July","August","September","October","November","December")</f>
        <v>April</v>
      </c>
      <c r="J587" s="55" t="s">
        <v>283</v>
      </c>
      <c r="K587" s="56">
        <v>84336</v>
      </c>
      <c r="L587" s="169">
        <v>3</v>
      </c>
    </row>
    <row r="588" spans="1:12" x14ac:dyDescent="0.25">
      <c r="A588" s="164" t="s">
        <v>639</v>
      </c>
      <c r="B588" s="164" t="s">
        <v>856</v>
      </c>
      <c r="C588" s="174" t="s">
        <v>271</v>
      </c>
      <c r="D588" s="173">
        <v>9198545681</v>
      </c>
      <c r="E588" s="172">
        <v>843632637</v>
      </c>
      <c r="F588" s="164" t="s">
        <v>252</v>
      </c>
      <c r="G588" s="171">
        <v>36589</v>
      </c>
      <c r="H588" s="54">
        <f ca="1">DATEDIF(G588,TODAY(),"Y")</f>
        <v>16</v>
      </c>
      <c r="I588" s="170" t="str">
        <f>CHOOSE(MONTH(G588),"January","February","March","April","May","June","July","August","September","October","November","December")</f>
        <v>March</v>
      </c>
      <c r="J588" s="55"/>
      <c r="K588" s="56">
        <v>15403</v>
      </c>
      <c r="L588" s="169">
        <v>5</v>
      </c>
    </row>
    <row r="589" spans="1:12" x14ac:dyDescent="0.25">
      <c r="A589" s="164" t="s">
        <v>803</v>
      </c>
      <c r="B589" s="164" t="s">
        <v>856</v>
      </c>
      <c r="C589" s="174" t="s">
        <v>271</v>
      </c>
      <c r="D589" s="173">
        <v>9198097539</v>
      </c>
      <c r="E589" s="172">
        <v>180832423</v>
      </c>
      <c r="F589" s="164" t="s">
        <v>256</v>
      </c>
      <c r="G589" s="171">
        <v>36806</v>
      </c>
      <c r="H589" s="54">
        <f ca="1">DATEDIF(G589,TODAY(),"Y")</f>
        <v>16</v>
      </c>
      <c r="I589" s="170" t="str">
        <f>CHOOSE(MONTH(G589),"January","February","March","April","May","June","July","August","September","October","November","December")</f>
        <v>October</v>
      </c>
      <c r="J589" s="55" t="s">
        <v>276</v>
      </c>
      <c r="K589" s="56">
        <v>95532</v>
      </c>
      <c r="L589" s="169">
        <v>2</v>
      </c>
    </row>
    <row r="590" spans="1:12" x14ac:dyDescent="0.25">
      <c r="A590" s="164" t="s">
        <v>1033</v>
      </c>
      <c r="B590" s="164" t="s">
        <v>856</v>
      </c>
      <c r="C590" s="174" t="s">
        <v>285</v>
      </c>
      <c r="D590" s="173">
        <v>2526306545</v>
      </c>
      <c r="E590" s="172">
        <v>622200296</v>
      </c>
      <c r="F590" s="164" t="s">
        <v>256</v>
      </c>
      <c r="G590" s="171">
        <v>34413</v>
      </c>
      <c r="H590" s="54">
        <f ca="1">DATEDIF(G590,TODAY(),"Y")</f>
        <v>22</v>
      </c>
      <c r="I590" s="170" t="str">
        <f>CHOOSE(MONTH(G590),"January","February","March","April","May","June","July","August","September","October","November","December")</f>
        <v>March</v>
      </c>
      <c r="J590" s="55" t="s">
        <v>257</v>
      </c>
      <c r="K590" s="56">
        <v>78685</v>
      </c>
      <c r="L590" s="169">
        <v>3</v>
      </c>
    </row>
    <row r="591" spans="1:12" x14ac:dyDescent="0.25">
      <c r="A591" s="164" t="s">
        <v>523</v>
      </c>
      <c r="B591" s="164" t="s">
        <v>856</v>
      </c>
      <c r="C591" s="174" t="s">
        <v>271</v>
      </c>
      <c r="D591" s="173">
        <v>2526584511</v>
      </c>
      <c r="E591" s="172">
        <v>277925508</v>
      </c>
      <c r="F591" s="164" t="s">
        <v>256</v>
      </c>
      <c r="G591" s="171">
        <v>36101</v>
      </c>
      <c r="H591" s="54">
        <f ca="1">DATEDIF(G591,TODAY(),"Y")</f>
        <v>18</v>
      </c>
      <c r="I591" s="170" t="str">
        <f>CHOOSE(MONTH(G591),"January","February","March","April","May","June","July","August","September","October","November","December")</f>
        <v>November</v>
      </c>
      <c r="J591" s="55" t="s">
        <v>283</v>
      </c>
      <c r="K591" s="56">
        <v>79728</v>
      </c>
      <c r="L591" s="169">
        <v>3</v>
      </c>
    </row>
    <row r="592" spans="1:12" x14ac:dyDescent="0.25">
      <c r="A592" s="164" t="s">
        <v>641</v>
      </c>
      <c r="B592" s="164" t="s">
        <v>856</v>
      </c>
      <c r="C592" s="174" t="s">
        <v>271</v>
      </c>
      <c r="D592" s="173">
        <v>2521525844</v>
      </c>
      <c r="E592" s="172">
        <v>627977314</v>
      </c>
      <c r="F592" s="164" t="s">
        <v>256</v>
      </c>
      <c r="G592" s="171">
        <v>34580</v>
      </c>
      <c r="H592" s="54">
        <f ca="1">DATEDIF(G592,TODAY(),"Y")</f>
        <v>22</v>
      </c>
      <c r="I592" s="170" t="str">
        <f>CHOOSE(MONTH(G592),"January","February","March","April","May","June","July","August","September","October","November","December")</f>
        <v>September</v>
      </c>
      <c r="J592" s="55" t="s">
        <v>276</v>
      </c>
      <c r="K592" s="56">
        <v>103488</v>
      </c>
      <c r="L592" s="169">
        <v>1</v>
      </c>
    </row>
    <row r="593" spans="1:12" x14ac:dyDescent="0.25">
      <c r="A593" s="164" t="s">
        <v>758</v>
      </c>
      <c r="B593" s="164" t="s">
        <v>856</v>
      </c>
      <c r="C593" s="174" t="s">
        <v>285</v>
      </c>
      <c r="D593" s="173">
        <v>2524269081</v>
      </c>
      <c r="E593" s="172">
        <v>351003584</v>
      </c>
      <c r="F593" s="164" t="s">
        <v>247</v>
      </c>
      <c r="G593" s="171">
        <v>36942</v>
      </c>
      <c r="H593" s="54">
        <f ca="1">DATEDIF(G593,TODAY(),"Y")</f>
        <v>15</v>
      </c>
      <c r="I593" s="170" t="str">
        <f>CHOOSE(MONTH(G593),"January","February","March","April","May","June","July","August","September","October","November","December")</f>
        <v>February</v>
      </c>
      <c r="J593" s="55"/>
      <c r="K593" s="56">
        <v>63972</v>
      </c>
      <c r="L593" s="169">
        <v>5</v>
      </c>
    </row>
    <row r="594" spans="1:12" x14ac:dyDescent="0.25">
      <c r="A594" s="164" t="s">
        <v>621</v>
      </c>
      <c r="B594" s="164" t="s">
        <v>856</v>
      </c>
      <c r="C594" s="174" t="s">
        <v>285</v>
      </c>
      <c r="D594" s="173">
        <v>2526732103</v>
      </c>
      <c r="E594" s="172">
        <v>135633006</v>
      </c>
      <c r="F594" s="164" t="s">
        <v>247</v>
      </c>
      <c r="G594" s="171">
        <v>37207</v>
      </c>
      <c r="H594" s="54">
        <f ca="1">DATEDIF(G594,TODAY(),"Y")</f>
        <v>14</v>
      </c>
      <c r="I594" s="170" t="str">
        <f>CHOOSE(MONTH(G594),"January","February","March","April","May","June","July","August","September","October","November","December")</f>
        <v>November</v>
      </c>
      <c r="J594" s="55"/>
      <c r="K594" s="56">
        <v>65808</v>
      </c>
      <c r="L594" s="169">
        <v>4</v>
      </c>
    </row>
    <row r="595" spans="1:12" x14ac:dyDescent="0.25">
      <c r="A595" s="164" t="s">
        <v>332</v>
      </c>
      <c r="B595" s="164" t="s">
        <v>856</v>
      </c>
      <c r="C595" s="174" t="s">
        <v>266</v>
      </c>
      <c r="D595" s="173">
        <v>2522447501</v>
      </c>
      <c r="E595" s="172">
        <v>687623890</v>
      </c>
      <c r="F595" s="164" t="s">
        <v>252</v>
      </c>
      <c r="G595" s="171">
        <v>35762</v>
      </c>
      <c r="H595" s="54">
        <f ca="1">DATEDIF(G595,TODAY(),"Y")</f>
        <v>18</v>
      </c>
      <c r="I595" s="170" t="str">
        <f>CHOOSE(MONTH(G595),"January","February","March","April","May","June","July","August","September","October","November","December")</f>
        <v>November</v>
      </c>
      <c r="J595" s="55"/>
      <c r="K595" s="56">
        <v>28430</v>
      </c>
      <c r="L595" s="169">
        <v>4</v>
      </c>
    </row>
    <row r="596" spans="1:12" x14ac:dyDescent="0.25">
      <c r="A596" s="164" t="s">
        <v>334</v>
      </c>
      <c r="B596" s="164" t="s">
        <v>856</v>
      </c>
      <c r="C596" s="174" t="s">
        <v>271</v>
      </c>
      <c r="D596" s="173">
        <v>9191952821</v>
      </c>
      <c r="E596" s="172">
        <v>668708287</v>
      </c>
      <c r="F596" s="164" t="s">
        <v>247</v>
      </c>
      <c r="G596" s="171">
        <v>36534</v>
      </c>
      <c r="H596" s="54">
        <f ca="1">DATEDIF(G596,TODAY(),"Y")</f>
        <v>16</v>
      </c>
      <c r="I596" s="170" t="str">
        <f>CHOOSE(MONTH(G596),"January","February","March","April","May","June","July","August","September","October","November","December")</f>
        <v>January</v>
      </c>
      <c r="J596" s="55"/>
      <c r="K596" s="56">
        <v>103320</v>
      </c>
      <c r="L596" s="169">
        <v>4</v>
      </c>
    </row>
    <row r="597" spans="1:12" x14ac:dyDescent="0.25">
      <c r="A597" s="164" t="s">
        <v>971</v>
      </c>
      <c r="B597" s="164" t="s">
        <v>856</v>
      </c>
      <c r="C597" s="174" t="s">
        <v>245</v>
      </c>
      <c r="D597" s="173">
        <v>2522889182</v>
      </c>
      <c r="E597" s="172">
        <v>426014550</v>
      </c>
      <c r="F597" s="164" t="s">
        <v>256</v>
      </c>
      <c r="G597" s="171">
        <v>36179</v>
      </c>
      <c r="H597" s="54">
        <f ca="1">DATEDIF(G597,TODAY(),"Y")</f>
        <v>17</v>
      </c>
      <c r="I597" s="170" t="str">
        <f>CHOOSE(MONTH(G597),"January","February","March","April","May","June","July","August","September","October","November","December")</f>
        <v>January</v>
      </c>
      <c r="J597" s="55" t="s">
        <v>276</v>
      </c>
      <c r="K597" s="56">
        <v>75558</v>
      </c>
      <c r="L597" s="169">
        <v>1</v>
      </c>
    </row>
    <row r="598" spans="1:12" x14ac:dyDescent="0.25">
      <c r="A598" s="164" t="s">
        <v>648</v>
      </c>
      <c r="B598" s="164" t="s">
        <v>856</v>
      </c>
      <c r="C598" s="174" t="s">
        <v>271</v>
      </c>
      <c r="D598" s="173">
        <v>2528433766</v>
      </c>
      <c r="E598" s="172">
        <v>750581894</v>
      </c>
      <c r="F598" s="164" t="s">
        <v>247</v>
      </c>
      <c r="G598" s="171">
        <v>41078</v>
      </c>
      <c r="H598" s="54">
        <f ca="1">DATEDIF(G598,TODAY(),"Y")</f>
        <v>4</v>
      </c>
      <c r="I598" s="170" t="str">
        <f>CHOOSE(MONTH(G598),"January","February","March","April","May","June","July","August","September","October","November","December")</f>
        <v>June</v>
      </c>
      <c r="J598" s="55"/>
      <c r="K598" s="56">
        <v>25896</v>
      </c>
      <c r="L598" s="169">
        <v>3</v>
      </c>
    </row>
    <row r="599" spans="1:12" x14ac:dyDescent="0.25">
      <c r="A599" s="164" t="s">
        <v>386</v>
      </c>
      <c r="B599" s="164" t="s">
        <v>856</v>
      </c>
      <c r="C599" s="174" t="s">
        <v>271</v>
      </c>
      <c r="D599" s="173">
        <v>2526458440</v>
      </c>
      <c r="E599" s="172">
        <v>548704405</v>
      </c>
      <c r="F599" s="164" t="s">
        <v>247</v>
      </c>
      <c r="G599" s="171">
        <v>37134</v>
      </c>
      <c r="H599" s="54">
        <f ca="1">DATEDIF(G599,TODAY(),"Y")</f>
        <v>15</v>
      </c>
      <c r="I599" s="170" t="str">
        <f>CHOOSE(MONTH(G599),"January","February","March","April","May","June","July","August","September","October","November","December")</f>
        <v>August</v>
      </c>
      <c r="J599" s="55"/>
      <c r="K599" s="56">
        <v>72960</v>
      </c>
      <c r="L599" s="169">
        <v>4</v>
      </c>
    </row>
    <row r="600" spans="1:12" x14ac:dyDescent="0.25">
      <c r="A600" s="164" t="s">
        <v>759</v>
      </c>
      <c r="B600" s="164" t="s">
        <v>856</v>
      </c>
      <c r="C600" s="174" t="s">
        <v>285</v>
      </c>
      <c r="D600" s="173">
        <v>9195866887</v>
      </c>
      <c r="E600" s="172">
        <v>693055639</v>
      </c>
      <c r="F600" s="164" t="s">
        <v>256</v>
      </c>
      <c r="G600" s="171">
        <v>33950</v>
      </c>
      <c r="H600" s="54">
        <f ca="1">DATEDIF(G600,TODAY(),"Y")</f>
        <v>23</v>
      </c>
      <c r="I600" s="170" t="str">
        <f>CHOOSE(MONTH(G600),"January","February","March","April","May","June","July","August","September","October","November","December")</f>
        <v>December</v>
      </c>
      <c r="J600" s="55" t="s">
        <v>257</v>
      </c>
      <c r="K600" s="56">
        <v>64680</v>
      </c>
      <c r="L600" s="169">
        <v>5</v>
      </c>
    </row>
    <row r="601" spans="1:12" x14ac:dyDescent="0.25">
      <c r="A601" s="164" t="s">
        <v>896</v>
      </c>
      <c r="B601" s="164" t="s">
        <v>856</v>
      </c>
      <c r="C601" s="174" t="s">
        <v>251</v>
      </c>
      <c r="D601" s="173">
        <v>2527126482</v>
      </c>
      <c r="E601" s="172">
        <v>462461365</v>
      </c>
      <c r="F601" s="164" t="s">
        <v>256</v>
      </c>
      <c r="G601" s="171">
        <v>34749</v>
      </c>
      <c r="H601" s="54">
        <f ca="1">DATEDIF(G601,TODAY(),"Y")</f>
        <v>21</v>
      </c>
      <c r="I601" s="170" t="str">
        <f>CHOOSE(MONTH(G601),"January","February","March","April","May","June","July","August","September","October","November","December")</f>
        <v>February</v>
      </c>
      <c r="J601" s="55" t="s">
        <v>283</v>
      </c>
      <c r="K601" s="56">
        <v>54132</v>
      </c>
      <c r="L601" s="169">
        <v>2</v>
      </c>
    </row>
    <row r="602" spans="1:12" x14ac:dyDescent="0.25">
      <c r="A602" s="164" t="s">
        <v>978</v>
      </c>
      <c r="B602" s="164" t="s">
        <v>856</v>
      </c>
      <c r="C602" s="174" t="s">
        <v>285</v>
      </c>
      <c r="D602" s="173">
        <v>9194919822</v>
      </c>
      <c r="E602" s="172">
        <v>708082156</v>
      </c>
      <c r="F602" s="164" t="s">
        <v>256</v>
      </c>
      <c r="G602" s="171">
        <v>37040</v>
      </c>
      <c r="H602" s="54">
        <f ca="1">DATEDIF(G602,TODAY(),"Y")</f>
        <v>15</v>
      </c>
      <c r="I602" s="170" t="str">
        <f>CHOOSE(MONTH(G602),"January","February","March","April","May","June","July","August","September","October","November","December")</f>
        <v>May</v>
      </c>
      <c r="J602" s="55" t="s">
        <v>257</v>
      </c>
      <c r="K602" s="56">
        <v>83040</v>
      </c>
      <c r="L602" s="169">
        <v>4</v>
      </c>
    </row>
    <row r="603" spans="1:12" x14ac:dyDescent="0.25">
      <c r="A603" s="164" t="s">
        <v>907</v>
      </c>
      <c r="B603" s="164" t="s">
        <v>856</v>
      </c>
      <c r="C603" s="174" t="s">
        <v>245</v>
      </c>
      <c r="D603" s="173">
        <v>9198413896</v>
      </c>
      <c r="E603" s="172">
        <v>649292883</v>
      </c>
      <c r="F603" s="164" t="s">
        <v>256</v>
      </c>
      <c r="G603" s="171">
        <v>38965</v>
      </c>
      <c r="H603" s="54">
        <f ca="1">DATEDIF(G603,TODAY(),"Y")</f>
        <v>10</v>
      </c>
      <c r="I603" s="170" t="str">
        <f>CHOOSE(MONTH(G603),"January","February","March","April","May","June","July","August","September","October","November","December")</f>
        <v>September</v>
      </c>
      <c r="J603" s="55" t="s">
        <v>283</v>
      </c>
      <c r="K603" s="56">
        <v>38292</v>
      </c>
      <c r="L603" s="169">
        <v>5</v>
      </c>
    </row>
    <row r="604" spans="1:12" x14ac:dyDescent="0.25">
      <c r="A604" s="164" t="s">
        <v>438</v>
      </c>
      <c r="B604" s="164" t="s">
        <v>856</v>
      </c>
      <c r="C604" s="174" t="s">
        <v>285</v>
      </c>
      <c r="D604" s="173">
        <v>9197785583</v>
      </c>
      <c r="E604" s="172">
        <v>420739404</v>
      </c>
      <c r="F604" s="164" t="s">
        <v>256</v>
      </c>
      <c r="G604" s="171">
        <v>33997</v>
      </c>
      <c r="H604" s="54">
        <f ca="1">DATEDIF(G604,TODAY(),"Y")</f>
        <v>23</v>
      </c>
      <c r="I604" s="170" t="str">
        <f>CHOOSE(MONTH(G604),"January","February","March","April","May","June","July","August","September","October","November","December")</f>
        <v>January</v>
      </c>
      <c r="J604" s="55" t="s">
        <v>283</v>
      </c>
      <c r="K604" s="56">
        <v>29808</v>
      </c>
      <c r="L604" s="169">
        <v>1</v>
      </c>
    </row>
    <row r="605" spans="1:12" x14ac:dyDescent="0.25">
      <c r="A605" s="164" t="s">
        <v>694</v>
      </c>
      <c r="B605" s="164" t="s">
        <v>856</v>
      </c>
      <c r="C605" s="174" t="s">
        <v>285</v>
      </c>
      <c r="D605" s="173">
        <v>2523631883</v>
      </c>
      <c r="E605" s="172">
        <v>750722934</v>
      </c>
      <c r="F605" s="164" t="s">
        <v>256</v>
      </c>
      <c r="G605" s="171">
        <v>36297</v>
      </c>
      <c r="H605" s="54">
        <f ca="1">DATEDIF(G605,TODAY(),"Y")</f>
        <v>17</v>
      </c>
      <c r="I605" s="170" t="str">
        <f>CHOOSE(MONTH(G605),"January","February","March","April","May","June","July","August","September","October","November","December")</f>
        <v>May</v>
      </c>
      <c r="J605" s="55" t="s">
        <v>283</v>
      </c>
      <c r="K605" s="56">
        <v>45324</v>
      </c>
      <c r="L605" s="169">
        <v>5</v>
      </c>
    </row>
    <row r="606" spans="1:12" x14ac:dyDescent="0.25">
      <c r="A606" s="164" t="s">
        <v>1034</v>
      </c>
      <c r="B606" s="164" t="s">
        <v>856</v>
      </c>
      <c r="C606" s="174" t="s">
        <v>245</v>
      </c>
      <c r="D606" s="173">
        <v>9193976775</v>
      </c>
      <c r="E606" s="172">
        <v>512404764</v>
      </c>
      <c r="F606" s="164" t="s">
        <v>256</v>
      </c>
      <c r="G606" s="171">
        <v>37018</v>
      </c>
      <c r="H606" s="54">
        <f ca="1">DATEDIF(G606,TODAY(),"Y")</f>
        <v>15</v>
      </c>
      <c r="I606" s="170" t="str">
        <f>CHOOSE(MONTH(G606),"January","February","March","April","May","June","July","August","September","October","November","December")</f>
        <v>May</v>
      </c>
      <c r="J606" s="55" t="s">
        <v>283</v>
      </c>
      <c r="K606" s="56">
        <v>46800</v>
      </c>
      <c r="L606" s="169">
        <v>3</v>
      </c>
    </row>
    <row r="607" spans="1:12" x14ac:dyDescent="0.25">
      <c r="A607" s="164" t="s">
        <v>994</v>
      </c>
      <c r="B607" s="164" t="s">
        <v>856</v>
      </c>
      <c r="C607" s="174" t="s">
        <v>280</v>
      </c>
      <c r="D607" s="173">
        <v>9196865606</v>
      </c>
      <c r="E607" s="172">
        <v>619456809</v>
      </c>
      <c r="F607" s="164" t="s">
        <v>261</v>
      </c>
      <c r="G607" s="171">
        <v>36570</v>
      </c>
      <c r="H607" s="54">
        <f ca="1">DATEDIF(G607,TODAY(),"Y")</f>
        <v>16</v>
      </c>
      <c r="I607" s="170" t="str">
        <f>CHOOSE(MONTH(G607),"January","February","March","April","May","June","July","August","September","October","November","December")</f>
        <v>February</v>
      </c>
      <c r="J607" s="55" t="s">
        <v>267</v>
      </c>
      <c r="K607" s="56">
        <v>47436</v>
      </c>
      <c r="L607" s="169">
        <v>5</v>
      </c>
    </row>
    <row r="608" spans="1:12" x14ac:dyDescent="0.25">
      <c r="A608" s="164" t="s">
        <v>568</v>
      </c>
      <c r="B608" s="164" t="s">
        <v>856</v>
      </c>
      <c r="C608" s="174" t="s">
        <v>271</v>
      </c>
      <c r="D608" s="173">
        <v>9192244880</v>
      </c>
      <c r="E608" s="172">
        <v>304024314</v>
      </c>
      <c r="F608" s="164" t="s">
        <v>247</v>
      </c>
      <c r="G608" s="171">
        <v>34149</v>
      </c>
      <c r="H608" s="54">
        <f ca="1">DATEDIF(G608,TODAY(),"Y")</f>
        <v>23</v>
      </c>
      <c r="I608" s="170" t="str">
        <f>CHOOSE(MONTH(G608),"January","February","March","April","May","June","July","August","September","October","November","December")</f>
        <v>June</v>
      </c>
      <c r="J608" s="55"/>
      <c r="K608" s="56">
        <v>55980</v>
      </c>
      <c r="L608" s="169">
        <v>2</v>
      </c>
    </row>
    <row r="609" spans="1:12" x14ac:dyDescent="0.25">
      <c r="A609" s="164" t="s">
        <v>660</v>
      </c>
      <c r="B609" s="164" t="s">
        <v>856</v>
      </c>
      <c r="C609" s="174" t="s">
        <v>245</v>
      </c>
      <c r="D609" s="173">
        <v>2528527032</v>
      </c>
      <c r="E609" s="172">
        <v>186821354</v>
      </c>
      <c r="F609" s="164" t="s">
        <v>256</v>
      </c>
      <c r="G609" s="171">
        <v>34738</v>
      </c>
      <c r="H609" s="54">
        <f ca="1">DATEDIF(G609,TODAY(),"Y")</f>
        <v>21</v>
      </c>
      <c r="I609" s="170" t="str">
        <f>CHOOSE(MONTH(G609),"January","February","March","April","May","June","July","August","September","October","November","December")</f>
        <v>February</v>
      </c>
      <c r="J609" s="55" t="s">
        <v>257</v>
      </c>
      <c r="K609" s="56">
        <v>65124</v>
      </c>
      <c r="L609" s="169">
        <v>3</v>
      </c>
    </row>
    <row r="610" spans="1:12" x14ac:dyDescent="0.25">
      <c r="A610" s="164" t="s">
        <v>348</v>
      </c>
      <c r="B610" s="164" t="s">
        <v>856</v>
      </c>
      <c r="C610" s="174" t="s">
        <v>271</v>
      </c>
      <c r="D610" s="173">
        <v>2522778445</v>
      </c>
      <c r="E610" s="172">
        <v>863736129</v>
      </c>
      <c r="F610" s="164" t="s">
        <v>261</v>
      </c>
      <c r="G610" s="171">
        <v>36416</v>
      </c>
      <c r="H610" s="54">
        <f ca="1">DATEDIF(G610,TODAY(),"Y")</f>
        <v>17</v>
      </c>
      <c r="I610" s="170" t="str">
        <f>CHOOSE(MONTH(G610),"January","February","March","April","May","June","July","August","September","October","November","December")</f>
        <v>September</v>
      </c>
      <c r="J610" s="55" t="s">
        <v>283</v>
      </c>
      <c r="K610" s="56">
        <v>51288</v>
      </c>
      <c r="L610" s="169">
        <v>2</v>
      </c>
    </row>
    <row r="611" spans="1:12" x14ac:dyDescent="0.25">
      <c r="A611" s="175" t="s">
        <v>282</v>
      </c>
      <c r="B611" s="164" t="s">
        <v>856</v>
      </c>
      <c r="C611" s="174" t="s">
        <v>285</v>
      </c>
      <c r="D611" s="173">
        <v>2522869792</v>
      </c>
      <c r="E611" s="172">
        <v>393973492</v>
      </c>
      <c r="F611" s="164" t="s">
        <v>261</v>
      </c>
      <c r="G611" s="171">
        <v>37151</v>
      </c>
      <c r="H611" s="54">
        <f ca="1">DATEDIF(G611,TODAY(),"Y")</f>
        <v>15</v>
      </c>
      <c r="I611" s="170" t="str">
        <f>CHOOSE(MONTH(G611),"January","February","March","April","May","June","July","August","September","October","November","December")</f>
        <v>September</v>
      </c>
      <c r="J611" s="55" t="s">
        <v>276</v>
      </c>
      <c r="K611" s="56">
        <v>56820</v>
      </c>
      <c r="L611" s="169">
        <v>1</v>
      </c>
    </row>
    <row r="612" spans="1:12" x14ac:dyDescent="0.25">
      <c r="A612" s="164" t="s">
        <v>444</v>
      </c>
      <c r="B612" s="164" t="s">
        <v>856</v>
      </c>
      <c r="C612" s="174" t="s">
        <v>280</v>
      </c>
      <c r="D612" s="173">
        <v>9195770085</v>
      </c>
      <c r="E612" s="172">
        <v>531654742</v>
      </c>
      <c r="F612" s="164" t="s">
        <v>256</v>
      </c>
      <c r="G612" s="171">
        <v>38521</v>
      </c>
      <c r="H612" s="54">
        <f ca="1">DATEDIF(G612,TODAY(),"Y")</f>
        <v>11</v>
      </c>
      <c r="I612" s="170" t="str">
        <f>CHOOSE(MONTH(G612),"January","February","March","April","May","June","July","August","September","October","November","December")</f>
        <v>June</v>
      </c>
      <c r="J612" s="55" t="s">
        <v>257</v>
      </c>
      <c r="K612" s="56">
        <v>35052</v>
      </c>
      <c r="L612" s="169">
        <v>5</v>
      </c>
    </row>
    <row r="613" spans="1:12" x14ac:dyDescent="0.25">
      <c r="A613" s="164" t="s">
        <v>1035</v>
      </c>
      <c r="B613" s="164" t="s">
        <v>856</v>
      </c>
      <c r="C613" s="174" t="s">
        <v>251</v>
      </c>
      <c r="D613" s="173">
        <v>9194626281</v>
      </c>
      <c r="E613" s="172">
        <v>593584018</v>
      </c>
      <c r="F613" s="164" t="s">
        <v>256</v>
      </c>
      <c r="G613" s="171">
        <v>34182</v>
      </c>
      <c r="H613" s="54">
        <f ca="1">DATEDIF(G613,TODAY(),"Y")</f>
        <v>23</v>
      </c>
      <c r="I613" s="170" t="str">
        <f>CHOOSE(MONTH(G613),"January","February","March","April","May","June","July","August","September","October","November","December")</f>
        <v>August</v>
      </c>
      <c r="J613" s="55" t="s">
        <v>257</v>
      </c>
      <c r="K613" s="56">
        <v>81504</v>
      </c>
      <c r="L613" s="169">
        <v>4</v>
      </c>
    </row>
    <row r="614" spans="1:12" x14ac:dyDescent="0.25">
      <c r="A614" s="164" t="s">
        <v>666</v>
      </c>
      <c r="B614" s="164" t="s">
        <v>856</v>
      </c>
      <c r="C614" s="174" t="s">
        <v>245</v>
      </c>
      <c r="D614" s="173">
        <v>2526853122</v>
      </c>
      <c r="E614" s="172">
        <v>221347766</v>
      </c>
      <c r="F614" s="164" t="s">
        <v>247</v>
      </c>
      <c r="G614" s="171">
        <v>36798</v>
      </c>
      <c r="H614" s="54">
        <f ca="1">DATEDIF(G614,TODAY(),"Y")</f>
        <v>16</v>
      </c>
      <c r="I614" s="170" t="str">
        <f>CHOOSE(MONTH(G614),"January","February","March","April","May","June","July","August","September","October","November","December")</f>
        <v>September</v>
      </c>
      <c r="J614" s="55"/>
      <c r="K614" s="56">
        <v>70860</v>
      </c>
      <c r="L614" s="169">
        <v>4</v>
      </c>
    </row>
    <row r="615" spans="1:12" x14ac:dyDescent="0.25">
      <c r="A615" s="164" t="s">
        <v>590</v>
      </c>
      <c r="B615" s="164" t="s">
        <v>856</v>
      </c>
      <c r="C615" s="174" t="s">
        <v>266</v>
      </c>
      <c r="D615" s="173">
        <v>2527422559</v>
      </c>
      <c r="E615" s="172">
        <v>889210902</v>
      </c>
      <c r="F615" s="164" t="s">
        <v>256</v>
      </c>
      <c r="G615" s="171">
        <v>37242</v>
      </c>
      <c r="H615" s="54">
        <f ca="1">DATEDIF(G615,TODAY(),"Y")</f>
        <v>14</v>
      </c>
      <c r="I615" s="170" t="str">
        <f>CHOOSE(MONTH(G615),"January","February","March","April","May","June","July","August","September","October","November","December")</f>
        <v>December</v>
      </c>
      <c r="J615" s="55" t="s">
        <v>283</v>
      </c>
      <c r="K615" s="56">
        <v>57900</v>
      </c>
      <c r="L615" s="169">
        <v>3</v>
      </c>
    </row>
    <row r="616" spans="1:12" x14ac:dyDescent="0.25">
      <c r="A616" s="164" t="s">
        <v>1007</v>
      </c>
      <c r="B616" s="164" t="s">
        <v>856</v>
      </c>
      <c r="C616" s="174" t="s">
        <v>266</v>
      </c>
      <c r="D616" s="173">
        <v>2524998145</v>
      </c>
      <c r="E616" s="172">
        <v>313648228</v>
      </c>
      <c r="F616" s="164" t="s">
        <v>256</v>
      </c>
      <c r="G616" s="171">
        <v>38353</v>
      </c>
      <c r="H616" s="54">
        <f ca="1">DATEDIF(G616,TODAY(),"Y")</f>
        <v>11</v>
      </c>
      <c r="I616" s="170" t="str">
        <f>CHOOSE(MONTH(G616),"January","February","March","April","May","June","July","August","September","October","November","December")</f>
        <v>January</v>
      </c>
      <c r="J616" s="55" t="s">
        <v>283</v>
      </c>
      <c r="K616" s="56">
        <v>98988</v>
      </c>
      <c r="L616" s="169">
        <v>5</v>
      </c>
    </row>
    <row r="617" spans="1:12" x14ac:dyDescent="0.25">
      <c r="A617" s="164" t="s">
        <v>833</v>
      </c>
      <c r="B617" s="164" t="s">
        <v>856</v>
      </c>
      <c r="C617" s="174" t="s">
        <v>285</v>
      </c>
      <c r="D617" s="173">
        <v>9198451642</v>
      </c>
      <c r="E617" s="172">
        <v>983047016</v>
      </c>
      <c r="F617" s="164" t="s">
        <v>247</v>
      </c>
      <c r="G617" s="171">
        <v>39521</v>
      </c>
      <c r="H617" s="54">
        <f ca="1">DATEDIF(G617,TODAY(),"Y")</f>
        <v>8</v>
      </c>
      <c r="I617" s="170" t="str">
        <f>CHOOSE(MONTH(G617),"January","February","March","April","May","June","July","August","September","October","November","December")</f>
        <v>March</v>
      </c>
      <c r="J617" s="55"/>
      <c r="K617" s="56">
        <v>103116</v>
      </c>
      <c r="L617" s="169">
        <v>2</v>
      </c>
    </row>
    <row r="618" spans="1:12" x14ac:dyDescent="0.25">
      <c r="A618" s="164" t="s">
        <v>835</v>
      </c>
      <c r="B618" s="164" t="s">
        <v>856</v>
      </c>
      <c r="C618" s="174" t="s">
        <v>245</v>
      </c>
      <c r="D618" s="176">
        <v>2525441252</v>
      </c>
      <c r="E618" s="172">
        <v>352371400</v>
      </c>
      <c r="F618" s="164" t="s">
        <v>252</v>
      </c>
      <c r="G618" s="171">
        <v>33984</v>
      </c>
      <c r="H618" s="54">
        <f ca="1">DATEDIF(G618,TODAY(),"Y")</f>
        <v>23</v>
      </c>
      <c r="I618" s="170" t="str">
        <f>CHOOSE(MONTH(G618),"January","February","March","April","May","June","July","August","September","October","November","December")</f>
        <v>January</v>
      </c>
      <c r="J618" s="55"/>
      <c r="K618" s="56">
        <v>36562</v>
      </c>
      <c r="L618" s="169">
        <v>2</v>
      </c>
    </row>
    <row r="619" spans="1:12" x14ac:dyDescent="0.25">
      <c r="A619" s="164" t="s">
        <v>595</v>
      </c>
      <c r="B619" s="164" t="s">
        <v>856</v>
      </c>
      <c r="C619" s="174" t="s">
        <v>285</v>
      </c>
      <c r="D619" s="173">
        <v>2527853314</v>
      </c>
      <c r="E619" s="172">
        <v>693965055</v>
      </c>
      <c r="F619" s="164" t="s">
        <v>256</v>
      </c>
      <c r="G619" s="171">
        <v>34439</v>
      </c>
      <c r="H619" s="54">
        <f ca="1">DATEDIF(G619,TODAY(),"Y")</f>
        <v>22</v>
      </c>
      <c r="I619" s="170" t="str">
        <f>CHOOSE(MONTH(G619),"January","February","March","April","May","June","July","August","September","October","November","December")</f>
        <v>April</v>
      </c>
      <c r="J619" s="55" t="s">
        <v>257</v>
      </c>
      <c r="K619" s="56">
        <v>82164</v>
      </c>
      <c r="L619" s="169">
        <v>4</v>
      </c>
    </row>
    <row r="620" spans="1:12" x14ac:dyDescent="0.25">
      <c r="A620" s="164" t="s">
        <v>838</v>
      </c>
      <c r="B620" s="164" t="s">
        <v>856</v>
      </c>
      <c r="C620" s="174" t="s">
        <v>285</v>
      </c>
      <c r="D620" s="173">
        <v>9193123940</v>
      </c>
      <c r="E620" s="172">
        <v>195772503</v>
      </c>
      <c r="F620" s="164" t="s">
        <v>247</v>
      </c>
      <c r="G620" s="171">
        <v>34642</v>
      </c>
      <c r="H620" s="54">
        <f ca="1">DATEDIF(G620,TODAY(),"Y")</f>
        <v>22</v>
      </c>
      <c r="I620" s="170" t="str">
        <f>CHOOSE(MONTH(G620),"January","February","March","April","May","June","July","August","September","October","November","December")</f>
        <v>November</v>
      </c>
      <c r="J620" s="55"/>
      <c r="K620" s="56">
        <v>66828</v>
      </c>
      <c r="L620" s="169">
        <v>2</v>
      </c>
    </row>
    <row r="621" spans="1:12" x14ac:dyDescent="0.25">
      <c r="A621" s="164" t="s">
        <v>356</v>
      </c>
      <c r="B621" s="164" t="s">
        <v>856</v>
      </c>
      <c r="C621" s="174" t="s">
        <v>285</v>
      </c>
      <c r="D621" s="173">
        <v>2524589262</v>
      </c>
      <c r="E621" s="172">
        <v>125540405</v>
      </c>
      <c r="F621" s="164" t="s">
        <v>256</v>
      </c>
      <c r="G621" s="171">
        <v>36973</v>
      </c>
      <c r="H621" s="54">
        <f ca="1">DATEDIF(G621,TODAY(),"Y")</f>
        <v>15</v>
      </c>
      <c r="I621" s="170" t="str">
        <f>CHOOSE(MONTH(G621),"January","February","March","April","May","June","July","August","September","October","November","December")</f>
        <v>March</v>
      </c>
      <c r="J621" s="55" t="s">
        <v>257</v>
      </c>
      <c r="K621" s="56">
        <v>70092</v>
      </c>
      <c r="L621" s="169">
        <v>5</v>
      </c>
    </row>
    <row r="622" spans="1:12" x14ac:dyDescent="0.25">
      <c r="A622" s="164" t="s">
        <v>597</v>
      </c>
      <c r="B622" s="164" t="s">
        <v>856</v>
      </c>
      <c r="C622" s="174" t="s">
        <v>245</v>
      </c>
      <c r="D622" s="173">
        <v>2528792521</v>
      </c>
      <c r="E622" s="172">
        <v>518009092</v>
      </c>
      <c r="F622" s="164" t="s">
        <v>252</v>
      </c>
      <c r="G622" s="171">
        <v>36597</v>
      </c>
      <c r="H622" s="54">
        <f ca="1">DATEDIF(G622,TODAY(),"Y")</f>
        <v>16</v>
      </c>
      <c r="I622" s="170" t="str">
        <f>CHOOSE(MONTH(G622),"January","February","March","April","May","June","July","August","September","October","November","December")</f>
        <v>March</v>
      </c>
      <c r="J622" s="55"/>
      <c r="K622" s="56">
        <v>21494</v>
      </c>
      <c r="L622" s="169">
        <v>5</v>
      </c>
    </row>
    <row r="623" spans="1:12" x14ac:dyDescent="0.25">
      <c r="A623" s="164" t="s">
        <v>359</v>
      </c>
      <c r="B623" s="164" t="s">
        <v>856</v>
      </c>
      <c r="C623" s="174" t="s">
        <v>280</v>
      </c>
      <c r="D623" s="173">
        <v>9192485673</v>
      </c>
      <c r="E623" s="172">
        <v>614562070</v>
      </c>
      <c r="F623" s="164" t="s">
        <v>261</v>
      </c>
      <c r="G623" s="171">
        <v>38543</v>
      </c>
      <c r="H623" s="54">
        <f ca="1">DATEDIF(G623,TODAY(),"Y")</f>
        <v>11</v>
      </c>
      <c r="I623" s="170" t="str">
        <f>CHOOSE(MONTH(G623),"January","February","March","April","May","June","July","August","September","October","November","December")</f>
        <v>July</v>
      </c>
      <c r="J623" s="55" t="s">
        <v>257</v>
      </c>
      <c r="K623" s="56">
        <v>58488</v>
      </c>
      <c r="L623" s="169">
        <v>1</v>
      </c>
    </row>
    <row r="624" spans="1:12" x14ac:dyDescent="0.25">
      <c r="A624" s="164" t="s">
        <v>918</v>
      </c>
      <c r="B624" s="164" t="s">
        <v>856</v>
      </c>
      <c r="C624" s="174" t="s">
        <v>266</v>
      </c>
      <c r="D624" s="173">
        <v>2524072342</v>
      </c>
      <c r="E624" s="172">
        <v>733881041</v>
      </c>
      <c r="F624" s="164" t="s">
        <v>252</v>
      </c>
      <c r="G624" s="171">
        <v>37285</v>
      </c>
      <c r="H624" s="54">
        <f ca="1">DATEDIF(G624,TODAY(),"Y")</f>
        <v>14</v>
      </c>
      <c r="I624" s="170" t="str">
        <f>CHOOSE(MONTH(G624),"January","February","March","April","May","June","July","August","September","October","November","December")</f>
        <v>January</v>
      </c>
      <c r="J624" s="55"/>
      <c r="K624" s="56">
        <v>18662</v>
      </c>
      <c r="L624" s="169">
        <v>4</v>
      </c>
    </row>
    <row r="625" spans="1:12" x14ac:dyDescent="0.25">
      <c r="A625" s="164" t="s">
        <v>1015</v>
      </c>
      <c r="B625" s="164" t="s">
        <v>856</v>
      </c>
      <c r="C625" s="174" t="s">
        <v>280</v>
      </c>
      <c r="D625" s="173">
        <v>2526593848</v>
      </c>
      <c r="E625" s="172">
        <v>666194498</v>
      </c>
      <c r="F625" s="164" t="s">
        <v>256</v>
      </c>
      <c r="G625" s="171">
        <v>39081</v>
      </c>
      <c r="H625" s="54">
        <f ca="1">DATEDIF(G625,TODAY(),"Y")</f>
        <v>9</v>
      </c>
      <c r="I625" s="170" t="str">
        <f>CHOOSE(MONTH(G625),"January","February","March","April","May","June","July","August","September","October","November","December")</f>
        <v>December</v>
      </c>
      <c r="J625" s="55" t="s">
        <v>283</v>
      </c>
      <c r="K625" s="56">
        <v>100452</v>
      </c>
      <c r="L625" s="169">
        <v>3</v>
      </c>
    </row>
    <row r="626" spans="1:12" x14ac:dyDescent="0.25">
      <c r="A626" s="164" t="s">
        <v>360</v>
      </c>
      <c r="B626" s="164" t="s">
        <v>856</v>
      </c>
      <c r="C626" s="174" t="s">
        <v>271</v>
      </c>
      <c r="D626" s="173">
        <v>9193922813</v>
      </c>
      <c r="E626" s="172">
        <v>705186668</v>
      </c>
      <c r="F626" s="164" t="s">
        <v>252</v>
      </c>
      <c r="G626" s="171">
        <v>34908</v>
      </c>
      <c r="H626" s="54">
        <f ca="1">DATEDIF(G626,TODAY(),"Y")</f>
        <v>21</v>
      </c>
      <c r="I626" s="170" t="str">
        <f>CHOOSE(MONTH(G626),"January","February","March","April","May","June","July","August","September","October","November","December")</f>
        <v>July</v>
      </c>
      <c r="J626" s="55"/>
      <c r="K626" s="56">
        <v>31781</v>
      </c>
      <c r="L626" s="169">
        <v>5</v>
      </c>
    </row>
    <row r="627" spans="1:12" x14ac:dyDescent="0.25">
      <c r="A627" s="164" t="s">
        <v>288</v>
      </c>
      <c r="B627" s="164" t="s">
        <v>856</v>
      </c>
      <c r="C627" s="174" t="s">
        <v>285</v>
      </c>
      <c r="D627" s="173">
        <v>9192376215</v>
      </c>
      <c r="E627" s="172">
        <v>932553359</v>
      </c>
      <c r="F627" s="164" t="s">
        <v>247</v>
      </c>
      <c r="G627" s="171">
        <v>40448</v>
      </c>
      <c r="H627" s="54">
        <f ca="1">DATEDIF(G627,TODAY(),"Y")</f>
        <v>6</v>
      </c>
      <c r="I627" s="170" t="str">
        <f>CHOOSE(MONTH(G627),"January","February","March","April","May","June","July","August","September","October","November","December")</f>
        <v>September</v>
      </c>
      <c r="J627" s="55"/>
      <c r="K627" s="56">
        <v>51984</v>
      </c>
      <c r="L627" s="169">
        <v>5</v>
      </c>
    </row>
    <row r="628" spans="1:12" x14ac:dyDescent="0.25">
      <c r="A628" s="164" t="s">
        <v>1016</v>
      </c>
      <c r="B628" s="164" t="s">
        <v>856</v>
      </c>
      <c r="C628" s="174" t="s">
        <v>285</v>
      </c>
      <c r="D628" s="173">
        <v>9195157047</v>
      </c>
      <c r="E628" s="172">
        <v>100703382</v>
      </c>
      <c r="F628" s="164" t="s">
        <v>256</v>
      </c>
      <c r="G628" s="171">
        <v>34888</v>
      </c>
      <c r="H628" s="54">
        <f ca="1">DATEDIF(G628,TODAY(),"Y")</f>
        <v>21</v>
      </c>
      <c r="I628" s="170" t="str">
        <f>CHOOSE(MONTH(G628),"January","February","March","April","May","June","July","August","September","October","November","December")</f>
        <v>July</v>
      </c>
      <c r="J628" s="55" t="s">
        <v>257</v>
      </c>
      <c r="K628" s="56">
        <v>65040</v>
      </c>
      <c r="L628" s="169">
        <v>4</v>
      </c>
    </row>
    <row r="629" spans="1:12" x14ac:dyDescent="0.25">
      <c r="A629" s="164" t="s">
        <v>605</v>
      </c>
      <c r="B629" s="164" t="s">
        <v>856</v>
      </c>
      <c r="C629" s="174" t="s">
        <v>271</v>
      </c>
      <c r="D629" s="173">
        <v>9198407416</v>
      </c>
      <c r="E629" s="172">
        <v>404589373</v>
      </c>
      <c r="F629" s="164" t="s">
        <v>256</v>
      </c>
      <c r="G629" s="171">
        <v>34756</v>
      </c>
      <c r="H629" s="54">
        <f ca="1">DATEDIF(G629,TODAY(),"Y")</f>
        <v>21</v>
      </c>
      <c r="I629" s="170" t="str">
        <f>CHOOSE(MONTH(G629),"January","February","March","April","May","June","July","August","September","October","November","December")</f>
        <v>February</v>
      </c>
      <c r="J629" s="55" t="s">
        <v>283</v>
      </c>
      <c r="K629" s="56">
        <v>80189</v>
      </c>
      <c r="L629" s="169">
        <v>2</v>
      </c>
    </row>
    <row r="630" spans="1:12" x14ac:dyDescent="0.25">
      <c r="A630" s="164" t="s">
        <v>1017</v>
      </c>
      <c r="B630" s="164" t="s">
        <v>856</v>
      </c>
      <c r="C630" s="174" t="s">
        <v>245</v>
      </c>
      <c r="D630" s="173">
        <v>2522842668</v>
      </c>
      <c r="E630" s="172">
        <v>288741910</v>
      </c>
      <c r="F630" s="164" t="s">
        <v>256</v>
      </c>
      <c r="G630" s="171">
        <v>37088</v>
      </c>
      <c r="H630" s="54">
        <f ca="1">DATEDIF(G630,TODAY(),"Y")</f>
        <v>15</v>
      </c>
      <c r="I630" s="170" t="str">
        <f>CHOOSE(MONTH(G630),"January","February","March","April","May","June","July","August","September","October","November","December")</f>
        <v>July</v>
      </c>
      <c r="J630" s="55" t="s">
        <v>283</v>
      </c>
      <c r="K630" s="56">
        <v>80424</v>
      </c>
      <c r="L630" s="169">
        <v>1</v>
      </c>
    </row>
    <row r="631" spans="1:12" x14ac:dyDescent="0.25">
      <c r="A631" s="164" t="s">
        <v>745</v>
      </c>
      <c r="B631" s="164" t="s">
        <v>856</v>
      </c>
      <c r="C631" s="174" t="s">
        <v>280</v>
      </c>
      <c r="D631" s="173">
        <v>2524713634</v>
      </c>
      <c r="E631" s="172">
        <v>491830893</v>
      </c>
      <c r="F631" s="164" t="s">
        <v>256</v>
      </c>
      <c r="G631" s="171">
        <v>40806</v>
      </c>
      <c r="H631" s="54">
        <f ca="1">DATEDIF(G631,TODAY(),"Y")</f>
        <v>5</v>
      </c>
      <c r="I631" s="170" t="str">
        <f>CHOOSE(MONTH(G631),"January","February","March","April","May","June","July","August","September","October","November","December")</f>
        <v>September</v>
      </c>
      <c r="J631" s="55" t="s">
        <v>283</v>
      </c>
      <c r="K631" s="56">
        <v>27828</v>
      </c>
      <c r="L631" s="169">
        <v>5</v>
      </c>
    </row>
    <row r="632" spans="1:12" x14ac:dyDescent="0.25">
      <c r="A632" s="164" t="s">
        <v>379</v>
      </c>
      <c r="B632" s="164" t="s">
        <v>856</v>
      </c>
      <c r="C632" s="174" t="s">
        <v>285</v>
      </c>
      <c r="D632" s="173">
        <v>9196973131</v>
      </c>
      <c r="E632" s="172">
        <v>984881714</v>
      </c>
      <c r="F632" s="164" t="s">
        <v>256</v>
      </c>
      <c r="G632" s="171">
        <v>36136</v>
      </c>
      <c r="H632" s="54">
        <f ca="1">DATEDIF(G632,TODAY(),"Y")</f>
        <v>17</v>
      </c>
      <c r="I632" s="170" t="str">
        <f>CHOOSE(MONTH(G632),"January","February","March","April","May","June","July","August","September","October","November","December")</f>
        <v>December</v>
      </c>
      <c r="J632" s="55" t="s">
        <v>283</v>
      </c>
      <c r="K632" s="56">
        <v>41196</v>
      </c>
      <c r="L632" s="169">
        <v>3</v>
      </c>
    </row>
    <row r="633" spans="1:12" x14ac:dyDescent="0.25">
      <c r="A633" s="164" t="s">
        <v>847</v>
      </c>
      <c r="B633" s="164" t="s">
        <v>856</v>
      </c>
      <c r="C633" s="174" t="s">
        <v>251</v>
      </c>
      <c r="D633" s="173">
        <v>9195526537</v>
      </c>
      <c r="E633" s="172">
        <v>368385341</v>
      </c>
      <c r="F633" s="164" t="s">
        <v>247</v>
      </c>
      <c r="G633" s="171">
        <v>37810</v>
      </c>
      <c r="H633" s="54">
        <f ca="1">DATEDIF(G633,TODAY(),"Y")</f>
        <v>13</v>
      </c>
      <c r="I633" s="170" t="str">
        <f>CHOOSE(MONTH(G633),"January","February","March","April","May","June","July","August","September","October","November","December")</f>
        <v>July</v>
      </c>
      <c r="J633" s="55"/>
      <c r="K633" s="56">
        <v>56136</v>
      </c>
      <c r="L633" s="169">
        <v>2</v>
      </c>
    </row>
    <row r="634" spans="1:12" x14ac:dyDescent="0.25">
      <c r="A634" s="164" t="s">
        <v>848</v>
      </c>
      <c r="B634" s="164" t="s">
        <v>856</v>
      </c>
      <c r="C634" s="174" t="s">
        <v>271</v>
      </c>
      <c r="D634" s="173">
        <v>2526532463</v>
      </c>
      <c r="E634" s="172">
        <v>644489557</v>
      </c>
      <c r="F634" s="164" t="s">
        <v>256</v>
      </c>
      <c r="G634" s="171">
        <v>36740</v>
      </c>
      <c r="H634" s="54">
        <f ca="1">DATEDIF(G634,TODAY(),"Y")</f>
        <v>16</v>
      </c>
      <c r="I634" s="170" t="str">
        <f>CHOOSE(MONTH(G634),"January","February","March","April","May","June","July","August","September","October","November","December")</f>
        <v>August</v>
      </c>
      <c r="J634" s="55" t="s">
        <v>262</v>
      </c>
      <c r="K634" s="56">
        <v>94740</v>
      </c>
      <c r="L634" s="169">
        <v>1</v>
      </c>
    </row>
    <row r="635" spans="1:12" x14ac:dyDescent="0.25">
      <c r="A635" s="164" t="s">
        <v>1020</v>
      </c>
      <c r="B635" s="164" t="s">
        <v>856</v>
      </c>
      <c r="C635" s="174" t="s">
        <v>271</v>
      </c>
      <c r="D635" s="173">
        <v>2526443692</v>
      </c>
      <c r="E635" s="172">
        <v>836953739</v>
      </c>
      <c r="F635" s="164" t="s">
        <v>261</v>
      </c>
      <c r="G635" s="171">
        <v>37259</v>
      </c>
      <c r="H635" s="54">
        <f ca="1">DATEDIF(G635,TODAY(),"Y")</f>
        <v>14</v>
      </c>
      <c r="I635" s="170" t="str">
        <f>CHOOSE(MONTH(G635),"January","February","March","April","May","June","July","August","September","October","November","December")</f>
        <v>January</v>
      </c>
      <c r="J635" s="55" t="s">
        <v>267</v>
      </c>
      <c r="K635" s="56">
        <v>25188</v>
      </c>
      <c r="L635" s="169">
        <v>4</v>
      </c>
    </row>
    <row r="636" spans="1:12" x14ac:dyDescent="0.25">
      <c r="A636" s="164" t="s">
        <v>851</v>
      </c>
      <c r="B636" s="164" t="s">
        <v>856</v>
      </c>
      <c r="C636" s="174" t="s">
        <v>251</v>
      </c>
      <c r="D636" s="173">
        <v>9193558443</v>
      </c>
      <c r="E636" s="172">
        <v>265993407</v>
      </c>
      <c r="F636" s="164" t="s">
        <v>247</v>
      </c>
      <c r="G636" s="171">
        <v>34010</v>
      </c>
      <c r="H636" s="54">
        <f ca="1">DATEDIF(G636,TODAY(),"Y")</f>
        <v>23</v>
      </c>
      <c r="I636" s="170" t="str">
        <f>CHOOSE(MONTH(G636),"January","February","March","April","May","June","July","August","September","October","November","December")</f>
        <v>February</v>
      </c>
      <c r="J636" s="55"/>
      <c r="K636" s="56">
        <v>107340</v>
      </c>
      <c r="L636" s="169">
        <v>2</v>
      </c>
    </row>
    <row r="637" spans="1:12" x14ac:dyDescent="0.25">
      <c r="A637" s="164" t="s">
        <v>853</v>
      </c>
      <c r="B637" s="164" t="s">
        <v>856</v>
      </c>
      <c r="C637" s="174" t="s">
        <v>245</v>
      </c>
      <c r="D637" s="173">
        <v>9196408497</v>
      </c>
      <c r="E637" s="172">
        <v>855135948</v>
      </c>
      <c r="F637" s="164" t="s">
        <v>256</v>
      </c>
      <c r="G637" s="171">
        <v>40543</v>
      </c>
      <c r="H637" s="54">
        <f ca="1">DATEDIF(G637,TODAY(),"Y")</f>
        <v>5</v>
      </c>
      <c r="I637" s="170" t="str">
        <f>CHOOSE(MONTH(G637),"January","February","March","April","May","June","July","August","September","October","November","December")</f>
        <v>December</v>
      </c>
      <c r="J637" s="55" t="s">
        <v>283</v>
      </c>
      <c r="K637" s="56">
        <v>86472</v>
      </c>
      <c r="L637" s="169">
        <v>2</v>
      </c>
    </row>
    <row r="638" spans="1:12" x14ac:dyDescent="0.25">
      <c r="A638" s="164" t="s">
        <v>454</v>
      </c>
      <c r="B638" s="164" t="s">
        <v>856</v>
      </c>
      <c r="C638" s="174" t="s">
        <v>271</v>
      </c>
      <c r="D638" s="173">
        <v>9194127875</v>
      </c>
      <c r="E638" s="172">
        <v>272659955</v>
      </c>
      <c r="F638" s="164" t="s">
        <v>256</v>
      </c>
      <c r="G638" s="171">
        <v>35013</v>
      </c>
      <c r="H638" s="54">
        <f ca="1">DATEDIF(G638,TODAY(),"Y")</f>
        <v>20</v>
      </c>
      <c r="I638" s="170" t="str">
        <f>CHOOSE(MONTH(G638),"January","February","March","April","May","June","July","August","September","October","November","December")</f>
        <v>November</v>
      </c>
      <c r="J638" s="55" t="s">
        <v>267</v>
      </c>
      <c r="K638" s="56">
        <v>58188</v>
      </c>
      <c r="L638" s="169">
        <v>2</v>
      </c>
    </row>
    <row r="639" spans="1:12" x14ac:dyDescent="0.25">
      <c r="A639" s="164" t="s">
        <v>859</v>
      </c>
      <c r="B639" s="164" t="s">
        <v>930</v>
      </c>
      <c r="C639" s="174" t="s">
        <v>251</v>
      </c>
      <c r="D639" s="173">
        <v>9192416398</v>
      </c>
      <c r="E639" s="172">
        <v>688769770</v>
      </c>
      <c r="F639" s="164" t="s">
        <v>256</v>
      </c>
      <c r="G639" s="171">
        <v>39354</v>
      </c>
      <c r="H639" s="54">
        <f ca="1">DATEDIF(G639,TODAY(),"Y")</f>
        <v>9</v>
      </c>
      <c r="I639" s="170" t="str">
        <f>CHOOSE(MONTH(G639),"January","February","March","April","May","June","July","August","September","October","November","December")</f>
        <v>September</v>
      </c>
      <c r="J639" s="55" t="s">
        <v>257</v>
      </c>
      <c r="K639" s="56">
        <v>53436</v>
      </c>
      <c r="L639" s="169">
        <v>2</v>
      </c>
    </row>
    <row r="640" spans="1:12" x14ac:dyDescent="0.25">
      <c r="A640" s="164" t="s">
        <v>769</v>
      </c>
      <c r="B640" s="164" t="s">
        <v>930</v>
      </c>
      <c r="C640" s="174" t="s">
        <v>271</v>
      </c>
      <c r="D640" s="173">
        <v>2526049607</v>
      </c>
      <c r="E640" s="172">
        <v>876082195</v>
      </c>
      <c r="F640" s="164" t="s">
        <v>256</v>
      </c>
      <c r="G640" s="171">
        <v>37058</v>
      </c>
      <c r="H640" s="54">
        <f ca="1">DATEDIF(G640,TODAY(),"Y")</f>
        <v>15</v>
      </c>
      <c r="I640" s="170" t="str">
        <f>CHOOSE(MONTH(G640),"January","February","March","April","May","June","July","August","September","October","November","December")</f>
        <v>June</v>
      </c>
      <c r="J640" s="55" t="s">
        <v>276</v>
      </c>
      <c r="K640" s="56">
        <v>74220</v>
      </c>
      <c r="L640" s="169">
        <v>2</v>
      </c>
    </row>
    <row r="641" spans="1:12" x14ac:dyDescent="0.25">
      <c r="A641" s="164" t="s">
        <v>771</v>
      </c>
      <c r="B641" s="164" t="s">
        <v>930</v>
      </c>
      <c r="C641" s="174" t="s">
        <v>285</v>
      </c>
      <c r="D641" s="173">
        <v>9193679666</v>
      </c>
      <c r="E641" s="172">
        <v>656572514</v>
      </c>
      <c r="F641" s="164" t="s">
        <v>247</v>
      </c>
      <c r="G641" s="171">
        <v>34702</v>
      </c>
      <c r="H641" s="54">
        <f ca="1">DATEDIF(G641,TODAY(),"Y")</f>
        <v>21</v>
      </c>
      <c r="I641" s="170" t="str">
        <f>CHOOSE(MONTH(G641),"January","February","March","April","May","June","July","August","September","October","November","December")</f>
        <v>January</v>
      </c>
      <c r="J641" s="55"/>
      <c r="K641" s="56">
        <v>84180</v>
      </c>
      <c r="L641" s="169">
        <v>2</v>
      </c>
    </row>
    <row r="642" spans="1:12" x14ac:dyDescent="0.25">
      <c r="A642" s="164" t="s">
        <v>467</v>
      </c>
      <c r="B642" s="164" t="s">
        <v>930</v>
      </c>
      <c r="C642" s="174" t="s">
        <v>245</v>
      </c>
      <c r="D642" s="173">
        <v>2524100997</v>
      </c>
      <c r="E642" s="172">
        <v>877574472</v>
      </c>
      <c r="F642" s="164" t="s">
        <v>247</v>
      </c>
      <c r="G642" s="171">
        <v>34129</v>
      </c>
      <c r="H642" s="54">
        <f ca="1">DATEDIF(G642,TODAY(),"Y")</f>
        <v>23</v>
      </c>
      <c r="I642" s="170" t="str">
        <f>CHOOSE(MONTH(G642),"January","February","March","April","May","June","July","August","September","October","November","December")</f>
        <v>June</v>
      </c>
      <c r="J642" s="55"/>
      <c r="K642" s="56">
        <v>41616</v>
      </c>
      <c r="L642" s="169">
        <v>5</v>
      </c>
    </row>
    <row r="643" spans="1:12" x14ac:dyDescent="0.25">
      <c r="A643" s="164" t="s">
        <v>773</v>
      </c>
      <c r="B643" s="164" t="s">
        <v>930</v>
      </c>
      <c r="C643" s="174" t="s">
        <v>285</v>
      </c>
      <c r="D643" s="173">
        <v>9196799516</v>
      </c>
      <c r="E643" s="172">
        <v>771110153</v>
      </c>
      <c r="F643" s="164" t="s">
        <v>256</v>
      </c>
      <c r="G643" s="171">
        <v>40011</v>
      </c>
      <c r="H643" s="54">
        <f ca="1">DATEDIF(G643,TODAY(),"Y")</f>
        <v>7</v>
      </c>
      <c r="I643" s="170" t="str">
        <f>CHOOSE(MONTH(G643),"January","February","March","April","May","June","July","August","September","October","November","December")</f>
        <v>July</v>
      </c>
      <c r="J643" s="55" t="s">
        <v>257</v>
      </c>
      <c r="K643" s="56">
        <v>29976</v>
      </c>
      <c r="L643" s="169">
        <v>3</v>
      </c>
    </row>
    <row r="644" spans="1:12" x14ac:dyDescent="0.25">
      <c r="A644" s="164" t="s">
        <v>711</v>
      </c>
      <c r="B644" s="164" t="s">
        <v>930</v>
      </c>
      <c r="C644" s="174" t="s">
        <v>251</v>
      </c>
      <c r="D644" s="173">
        <v>9191838930</v>
      </c>
      <c r="E644" s="172">
        <v>995590510</v>
      </c>
      <c r="F644" s="164" t="s">
        <v>247</v>
      </c>
      <c r="G644" s="171">
        <v>41366</v>
      </c>
      <c r="H644" s="54">
        <f ca="1">DATEDIF(G644,TODAY(),"Y")</f>
        <v>3</v>
      </c>
      <c r="I644" s="170" t="str">
        <f>CHOOSE(MONTH(G644),"January","February","March","April","May","June","July","August","September","October","November","December")</f>
        <v>April</v>
      </c>
      <c r="J644" s="55"/>
      <c r="K644" s="56">
        <v>51588</v>
      </c>
      <c r="L644" s="169">
        <v>4</v>
      </c>
    </row>
    <row r="645" spans="1:12" x14ac:dyDescent="0.25">
      <c r="A645" s="164" t="s">
        <v>295</v>
      </c>
      <c r="B645" s="164" t="s">
        <v>930</v>
      </c>
      <c r="C645" s="174" t="s">
        <v>245</v>
      </c>
      <c r="D645" s="173">
        <v>9196259106</v>
      </c>
      <c r="E645" s="172">
        <v>683670378</v>
      </c>
      <c r="F645" s="164" t="s">
        <v>256</v>
      </c>
      <c r="G645" s="171">
        <v>39075</v>
      </c>
      <c r="H645" s="54">
        <f ca="1">DATEDIF(G645,TODAY(),"Y")</f>
        <v>9</v>
      </c>
      <c r="I645" s="170" t="str">
        <f>CHOOSE(MONTH(G645),"January","February","March","April","May","June","July","August","September","October","November","December")</f>
        <v>December</v>
      </c>
      <c r="J645" s="55" t="s">
        <v>283</v>
      </c>
      <c r="K645" s="56">
        <v>97608</v>
      </c>
      <c r="L645" s="169">
        <v>2</v>
      </c>
    </row>
    <row r="646" spans="1:12" x14ac:dyDescent="0.25">
      <c r="A646" s="164" t="s">
        <v>308</v>
      </c>
      <c r="B646" s="164" t="s">
        <v>930</v>
      </c>
      <c r="C646" s="174" t="s">
        <v>251</v>
      </c>
      <c r="D646" s="173">
        <v>2526757210</v>
      </c>
      <c r="E646" s="172">
        <v>799754905</v>
      </c>
      <c r="F646" s="164" t="s">
        <v>256</v>
      </c>
      <c r="G646" s="171">
        <v>36035</v>
      </c>
      <c r="H646" s="54">
        <f ca="1">DATEDIF(G646,TODAY(),"Y")</f>
        <v>18</v>
      </c>
      <c r="I646" s="170" t="str">
        <f>CHOOSE(MONTH(G646),"January","February","March","April","May","June","July","August","September","October","November","December")</f>
        <v>August</v>
      </c>
      <c r="J646" s="55" t="s">
        <v>257</v>
      </c>
      <c r="K646" s="56">
        <v>38028</v>
      </c>
      <c r="L646" s="169">
        <v>4</v>
      </c>
    </row>
    <row r="647" spans="1:12" x14ac:dyDescent="0.25">
      <c r="A647" s="164" t="s">
        <v>479</v>
      </c>
      <c r="B647" s="164" t="s">
        <v>930</v>
      </c>
      <c r="C647" s="174" t="s">
        <v>285</v>
      </c>
      <c r="D647" s="173">
        <v>2526466230</v>
      </c>
      <c r="E647" s="172">
        <v>163350417</v>
      </c>
      <c r="F647" s="164" t="s">
        <v>256</v>
      </c>
      <c r="G647" s="171">
        <v>37400</v>
      </c>
      <c r="H647" s="54">
        <f ca="1">DATEDIF(G647,TODAY(),"Y")</f>
        <v>14</v>
      </c>
      <c r="I647" s="170" t="str">
        <f>CHOOSE(MONTH(G647),"January","February","March","April","May","June","July","August","September","October","November","December")</f>
        <v>May</v>
      </c>
      <c r="J647" s="55" t="s">
        <v>262</v>
      </c>
      <c r="K647" s="56">
        <v>78384</v>
      </c>
      <c r="L647" s="169">
        <v>5</v>
      </c>
    </row>
    <row r="648" spans="1:12" x14ac:dyDescent="0.25">
      <c r="A648" s="164" t="s">
        <v>1030</v>
      </c>
      <c r="B648" s="164" t="s">
        <v>930</v>
      </c>
      <c r="C648" s="174" t="s">
        <v>280</v>
      </c>
      <c r="D648" s="173">
        <v>2523014821</v>
      </c>
      <c r="E648" s="172">
        <v>651999482</v>
      </c>
      <c r="F648" s="164" t="s">
        <v>256</v>
      </c>
      <c r="G648" s="171">
        <v>40407</v>
      </c>
      <c r="H648" s="54">
        <f ca="1">DATEDIF(G648,TODAY(),"Y")</f>
        <v>6</v>
      </c>
      <c r="I648" s="170" t="str">
        <f>CHOOSE(MONTH(G648),"January","February","March","April","May","June","July","August","September","October","November","December")</f>
        <v>August</v>
      </c>
      <c r="J648" s="55" t="s">
        <v>257</v>
      </c>
      <c r="K648" s="56">
        <v>27384</v>
      </c>
      <c r="L648" s="169">
        <v>5</v>
      </c>
    </row>
    <row r="649" spans="1:12" x14ac:dyDescent="0.25">
      <c r="A649" s="164" t="s">
        <v>938</v>
      </c>
      <c r="B649" s="164" t="s">
        <v>930</v>
      </c>
      <c r="C649" s="174" t="s">
        <v>285</v>
      </c>
      <c r="D649" s="173">
        <v>2526459263</v>
      </c>
      <c r="E649" s="172">
        <v>483483618</v>
      </c>
      <c r="F649" s="164" t="s">
        <v>256</v>
      </c>
      <c r="G649" s="171">
        <v>35865</v>
      </c>
      <c r="H649" s="54">
        <f ca="1">DATEDIF(G649,TODAY(),"Y")</f>
        <v>18</v>
      </c>
      <c r="I649" s="170" t="str">
        <f>CHOOSE(MONTH(G649),"January","February","March","April","May","June","July","August","September","October","November","December")</f>
        <v>March</v>
      </c>
      <c r="J649" s="55" t="s">
        <v>283</v>
      </c>
      <c r="K649" s="56">
        <v>40308</v>
      </c>
      <c r="L649" s="169">
        <v>5</v>
      </c>
    </row>
    <row r="650" spans="1:12" x14ac:dyDescent="0.25">
      <c r="A650" s="164" t="s">
        <v>777</v>
      </c>
      <c r="B650" s="164" t="s">
        <v>930</v>
      </c>
      <c r="C650" s="174" t="s">
        <v>280</v>
      </c>
      <c r="D650" s="173">
        <v>9198399625</v>
      </c>
      <c r="E650" s="172">
        <v>426812736</v>
      </c>
      <c r="F650" s="164" t="s">
        <v>247</v>
      </c>
      <c r="G650" s="171">
        <v>34887</v>
      </c>
      <c r="H650" s="54">
        <f ca="1">DATEDIF(G650,TODAY(),"Y")</f>
        <v>21</v>
      </c>
      <c r="I650" s="170" t="str">
        <f>CHOOSE(MONTH(G650),"January","February","March","April","May","June","July","August","September","October","November","December")</f>
        <v>July</v>
      </c>
      <c r="J650" s="55"/>
      <c r="K650" s="56">
        <v>42288</v>
      </c>
      <c r="L650" s="169">
        <v>3</v>
      </c>
    </row>
    <row r="651" spans="1:12" x14ac:dyDescent="0.25">
      <c r="A651" s="164" t="s">
        <v>487</v>
      </c>
      <c r="B651" s="164" t="s">
        <v>930</v>
      </c>
      <c r="C651" s="174" t="s">
        <v>266</v>
      </c>
      <c r="D651" s="173">
        <v>9194483888</v>
      </c>
      <c r="E651" s="172">
        <v>929694686</v>
      </c>
      <c r="F651" s="164" t="s">
        <v>256</v>
      </c>
      <c r="G651" s="171">
        <v>41264</v>
      </c>
      <c r="H651" s="54">
        <f ca="1">DATEDIF(G651,TODAY(),"Y")</f>
        <v>3</v>
      </c>
      <c r="I651" s="170" t="str">
        <f>CHOOSE(MONTH(G651),"January","February","March","April","May","June","July","August","September","October","November","December")</f>
        <v>December</v>
      </c>
      <c r="J651" s="55" t="s">
        <v>283</v>
      </c>
      <c r="K651" s="56">
        <v>84876</v>
      </c>
      <c r="L651" s="169">
        <v>1</v>
      </c>
    </row>
    <row r="652" spans="1:12" x14ac:dyDescent="0.25">
      <c r="A652" s="164" t="s">
        <v>488</v>
      </c>
      <c r="B652" s="164" t="s">
        <v>930</v>
      </c>
      <c r="C652" s="174" t="s">
        <v>285</v>
      </c>
      <c r="D652" s="173">
        <v>9194557504</v>
      </c>
      <c r="E652" s="172">
        <v>879114558</v>
      </c>
      <c r="F652" s="164" t="s">
        <v>261</v>
      </c>
      <c r="G652" s="171">
        <v>37646</v>
      </c>
      <c r="H652" s="54">
        <f ca="1">DATEDIF(G652,TODAY(),"Y")</f>
        <v>13</v>
      </c>
      <c r="I652" s="170" t="str">
        <f>CHOOSE(MONTH(G652),"January","February","March","April","May","June","July","August","September","October","November","December")</f>
        <v>January</v>
      </c>
      <c r="J652" s="55" t="s">
        <v>257</v>
      </c>
      <c r="K652" s="56">
        <v>20646</v>
      </c>
      <c r="L652" s="169">
        <v>5</v>
      </c>
    </row>
    <row r="653" spans="1:12" x14ac:dyDescent="0.25">
      <c r="A653" s="164" t="s">
        <v>1059</v>
      </c>
      <c r="B653" s="164" t="s">
        <v>930</v>
      </c>
      <c r="C653" s="174" t="s">
        <v>280</v>
      </c>
      <c r="D653" s="173">
        <v>9196965088</v>
      </c>
      <c r="E653" s="172">
        <v>641962645</v>
      </c>
      <c r="F653" s="164" t="s">
        <v>247</v>
      </c>
      <c r="G653" s="171">
        <v>34863</v>
      </c>
      <c r="H653" s="54">
        <f ca="1">DATEDIF(G653,TODAY(),"Y")</f>
        <v>21</v>
      </c>
      <c r="I653" s="170" t="str">
        <f>CHOOSE(MONTH(G653),"January","February","March","April","May","June","July","August","September","October","November","December")</f>
        <v>June</v>
      </c>
      <c r="J653" s="55"/>
      <c r="K653" s="56">
        <v>94308</v>
      </c>
      <c r="L653" s="169">
        <v>1</v>
      </c>
    </row>
    <row r="654" spans="1:12" x14ac:dyDescent="0.25">
      <c r="A654" s="164" t="s">
        <v>297</v>
      </c>
      <c r="B654" s="164" t="s">
        <v>930</v>
      </c>
      <c r="C654" s="174" t="s">
        <v>285</v>
      </c>
      <c r="D654" s="173">
        <v>9193936198</v>
      </c>
      <c r="E654" s="172">
        <v>894855096</v>
      </c>
      <c r="F654" s="164" t="s">
        <v>261</v>
      </c>
      <c r="G654" s="171">
        <v>36194</v>
      </c>
      <c r="H654" s="54">
        <f ca="1">DATEDIF(G654,TODAY(),"Y")</f>
        <v>17</v>
      </c>
      <c r="I654" s="170" t="str">
        <f>CHOOSE(MONTH(G654),"January","February","March","April","May","June","July","August","September","October","November","December")</f>
        <v>February</v>
      </c>
      <c r="J654" s="55" t="s">
        <v>262</v>
      </c>
      <c r="K654" s="56">
        <v>45192</v>
      </c>
      <c r="L654" s="169">
        <v>4</v>
      </c>
    </row>
    <row r="655" spans="1:12" x14ac:dyDescent="0.25">
      <c r="A655" s="164" t="s">
        <v>373</v>
      </c>
      <c r="B655" s="164" t="s">
        <v>930</v>
      </c>
      <c r="C655" s="174" t="s">
        <v>271</v>
      </c>
      <c r="D655" s="173">
        <v>9195797109</v>
      </c>
      <c r="E655" s="172">
        <v>855663308</v>
      </c>
      <c r="F655" s="164" t="s">
        <v>256</v>
      </c>
      <c r="G655" s="171">
        <v>35398</v>
      </c>
      <c r="H655" s="54">
        <f ca="1">DATEDIF(G655,TODAY(),"Y")</f>
        <v>19</v>
      </c>
      <c r="I655" s="170" t="str">
        <f>CHOOSE(MONTH(G655),"January","February","March","April","May","June","July","August","September","October","November","December")</f>
        <v>November</v>
      </c>
      <c r="J655" s="55" t="s">
        <v>257</v>
      </c>
      <c r="K655" s="56">
        <v>83412</v>
      </c>
      <c r="L655" s="169">
        <v>5</v>
      </c>
    </row>
    <row r="656" spans="1:12" x14ac:dyDescent="0.25">
      <c r="A656" s="164" t="s">
        <v>501</v>
      </c>
      <c r="B656" s="164" t="s">
        <v>930</v>
      </c>
      <c r="C656" s="174" t="s">
        <v>271</v>
      </c>
      <c r="D656" s="173">
        <v>9194084456</v>
      </c>
      <c r="E656" s="172">
        <v>159594851</v>
      </c>
      <c r="F656" s="164" t="s">
        <v>256</v>
      </c>
      <c r="G656" s="171">
        <v>41408</v>
      </c>
      <c r="H656" s="54">
        <f ca="1">DATEDIF(G656,TODAY(),"Y")</f>
        <v>3</v>
      </c>
      <c r="I656" s="170" t="str">
        <f>CHOOSE(MONTH(G656),"January","February","March","April","May","June","July","August","September","October","November","December")</f>
        <v>May</v>
      </c>
      <c r="J656" s="55" t="s">
        <v>276</v>
      </c>
      <c r="K656" s="56">
        <v>48312</v>
      </c>
      <c r="L656" s="169">
        <v>5</v>
      </c>
    </row>
    <row r="657" spans="1:12" x14ac:dyDescent="0.25">
      <c r="A657" s="164" t="s">
        <v>787</v>
      </c>
      <c r="B657" s="164" t="s">
        <v>930</v>
      </c>
      <c r="C657" s="174" t="s">
        <v>285</v>
      </c>
      <c r="D657" s="173">
        <v>9191800673</v>
      </c>
      <c r="E657" s="172">
        <v>471064761</v>
      </c>
      <c r="F657" s="164" t="s">
        <v>252</v>
      </c>
      <c r="G657" s="171">
        <v>35553</v>
      </c>
      <c r="H657" s="54">
        <f ca="1">DATEDIF(G657,TODAY(),"Y")</f>
        <v>19</v>
      </c>
      <c r="I657" s="170" t="str">
        <f>CHOOSE(MONTH(G657),"January","February","March","April","May","June","July","August","September","October","November","December")</f>
        <v>May</v>
      </c>
      <c r="J657" s="55"/>
      <c r="K657" s="56">
        <v>32333</v>
      </c>
      <c r="L657" s="169">
        <v>4</v>
      </c>
    </row>
    <row r="658" spans="1:12" x14ac:dyDescent="0.25">
      <c r="A658" s="164" t="s">
        <v>754</v>
      </c>
      <c r="B658" s="164" t="s">
        <v>930</v>
      </c>
      <c r="C658" s="174" t="s">
        <v>285</v>
      </c>
      <c r="D658" s="173">
        <v>9191509619</v>
      </c>
      <c r="E658" s="172">
        <v>287476507</v>
      </c>
      <c r="F658" s="164" t="s">
        <v>261</v>
      </c>
      <c r="G658" s="171">
        <v>34733</v>
      </c>
      <c r="H658" s="54">
        <f ca="1">DATEDIF(G658,TODAY(),"Y")</f>
        <v>21</v>
      </c>
      <c r="I658" s="170" t="str">
        <f>CHOOSE(MONTH(G658),"January","February","March","April","May","June","July","August","September","October","November","December")</f>
        <v>February</v>
      </c>
      <c r="J658" s="55" t="s">
        <v>257</v>
      </c>
      <c r="K658" s="56">
        <v>23922</v>
      </c>
      <c r="L658" s="169">
        <v>1</v>
      </c>
    </row>
    <row r="659" spans="1:12" x14ac:dyDescent="0.25">
      <c r="A659" s="164" t="s">
        <v>508</v>
      </c>
      <c r="B659" s="164" t="s">
        <v>930</v>
      </c>
      <c r="C659" s="174" t="s">
        <v>271</v>
      </c>
      <c r="D659" s="173">
        <v>2524907564</v>
      </c>
      <c r="E659" s="172">
        <v>916944119</v>
      </c>
      <c r="F659" s="164" t="s">
        <v>247</v>
      </c>
      <c r="G659" s="171">
        <v>37827</v>
      </c>
      <c r="H659" s="54">
        <f ca="1">DATEDIF(G659,TODAY(),"Y")</f>
        <v>13</v>
      </c>
      <c r="I659" s="170" t="str">
        <f>CHOOSE(MONTH(G659),"January","February","March","April","May","June","July","August","September","October","November","December")</f>
        <v>July</v>
      </c>
      <c r="J659" s="55"/>
      <c r="K659" s="56">
        <v>33924</v>
      </c>
      <c r="L659" s="169">
        <v>5</v>
      </c>
    </row>
    <row r="660" spans="1:12" x14ac:dyDescent="0.25">
      <c r="A660" s="164" t="s">
        <v>509</v>
      </c>
      <c r="B660" s="164" t="s">
        <v>930</v>
      </c>
      <c r="C660" s="174" t="s">
        <v>271</v>
      </c>
      <c r="D660" s="173">
        <v>9192683895</v>
      </c>
      <c r="E660" s="172">
        <v>693214759</v>
      </c>
      <c r="F660" s="164" t="s">
        <v>256</v>
      </c>
      <c r="G660" s="171">
        <v>34534</v>
      </c>
      <c r="H660" s="54">
        <f ca="1">DATEDIF(G660,TODAY(),"Y")</f>
        <v>22</v>
      </c>
      <c r="I660" s="170" t="str">
        <f>CHOOSE(MONTH(G660),"January","February","March","April","May","June","July","August","September","October","November","December")</f>
        <v>July</v>
      </c>
      <c r="J660" s="55" t="s">
        <v>262</v>
      </c>
      <c r="K660" s="56">
        <v>75336</v>
      </c>
      <c r="L660" s="169">
        <v>3</v>
      </c>
    </row>
    <row r="661" spans="1:12" x14ac:dyDescent="0.25">
      <c r="A661" s="164" t="s">
        <v>298</v>
      </c>
      <c r="B661" s="164" t="s">
        <v>930</v>
      </c>
      <c r="C661" s="174" t="s">
        <v>285</v>
      </c>
      <c r="D661" s="173">
        <v>2525604891</v>
      </c>
      <c r="E661" s="172">
        <v>794814501</v>
      </c>
      <c r="F661" s="164" t="s">
        <v>247</v>
      </c>
      <c r="G661" s="171">
        <v>40963</v>
      </c>
      <c r="H661" s="54">
        <f ca="1">DATEDIF(G661,TODAY(),"Y")</f>
        <v>4</v>
      </c>
      <c r="I661" s="170" t="str">
        <f>CHOOSE(MONTH(G661),"January","February","March","April","May","June","July","August","September","October","November","December")</f>
        <v>February</v>
      </c>
      <c r="J661" s="55"/>
      <c r="K661" s="56">
        <v>96875</v>
      </c>
      <c r="L661" s="169">
        <v>3</v>
      </c>
    </row>
    <row r="662" spans="1:12" x14ac:dyDescent="0.25">
      <c r="A662" s="164" t="s">
        <v>395</v>
      </c>
      <c r="B662" s="164" t="s">
        <v>930</v>
      </c>
      <c r="C662" s="174" t="s">
        <v>285</v>
      </c>
      <c r="D662" s="173">
        <v>2522552565</v>
      </c>
      <c r="E662" s="172">
        <v>101829876</v>
      </c>
      <c r="F662" s="164" t="s">
        <v>252</v>
      </c>
      <c r="G662" s="171">
        <v>35975</v>
      </c>
      <c r="H662" s="54">
        <f ca="1">DATEDIF(G662,TODAY(),"Y")</f>
        <v>18</v>
      </c>
      <c r="I662" s="170" t="str">
        <f>CHOOSE(MONTH(G662),"January","February","March","April","May","June","July","August","September","October","November","December")</f>
        <v>June</v>
      </c>
      <c r="J662" s="55"/>
      <c r="K662" s="56">
        <v>40502</v>
      </c>
      <c r="L662" s="169">
        <v>3</v>
      </c>
    </row>
    <row r="663" spans="1:12" x14ac:dyDescent="0.25">
      <c r="A663" s="164" t="s">
        <v>517</v>
      </c>
      <c r="B663" s="164" t="s">
        <v>930</v>
      </c>
      <c r="C663" s="174" t="s">
        <v>251</v>
      </c>
      <c r="D663" s="173">
        <v>2525402828</v>
      </c>
      <c r="E663" s="172">
        <v>759471070</v>
      </c>
      <c r="F663" s="164" t="s">
        <v>256</v>
      </c>
      <c r="G663" s="171">
        <v>37737</v>
      </c>
      <c r="H663" s="54">
        <f ca="1">DATEDIF(G663,TODAY(),"Y")</f>
        <v>13</v>
      </c>
      <c r="I663" s="170" t="str">
        <f>CHOOSE(MONTH(G663),"January","February","March","April","May","June","July","August","September","October","November","December")</f>
        <v>April</v>
      </c>
      <c r="J663" s="55" t="s">
        <v>283</v>
      </c>
      <c r="K663" s="56">
        <v>94452</v>
      </c>
      <c r="L663" s="169">
        <v>2</v>
      </c>
    </row>
    <row r="664" spans="1:12" x14ac:dyDescent="0.25">
      <c r="A664" s="164" t="s">
        <v>427</v>
      </c>
      <c r="B664" s="164" t="s">
        <v>930</v>
      </c>
      <c r="C664" s="174" t="s">
        <v>266</v>
      </c>
      <c r="D664" s="173">
        <v>9194375399</v>
      </c>
      <c r="E664" s="172">
        <v>971128623</v>
      </c>
      <c r="F664" s="164" t="s">
        <v>247</v>
      </c>
      <c r="G664" s="171">
        <v>37869</v>
      </c>
      <c r="H664" s="54">
        <f ca="1">DATEDIF(G664,TODAY(),"Y")</f>
        <v>13</v>
      </c>
      <c r="I664" s="170" t="str">
        <f>CHOOSE(MONTH(G664),"January","February","March","April","May","June","July","August","September","October","November","December")</f>
        <v>September</v>
      </c>
      <c r="J664" s="55"/>
      <c r="K664" s="56">
        <v>30636</v>
      </c>
      <c r="L664" s="169">
        <v>3</v>
      </c>
    </row>
    <row r="665" spans="1:12" x14ac:dyDescent="0.25">
      <c r="A665" s="164" t="s">
        <v>520</v>
      </c>
      <c r="B665" s="164" t="s">
        <v>930</v>
      </c>
      <c r="C665" s="174" t="s">
        <v>285</v>
      </c>
      <c r="D665" s="173">
        <v>2525459665</v>
      </c>
      <c r="E665" s="172">
        <v>324069262</v>
      </c>
      <c r="F665" s="164" t="s">
        <v>247</v>
      </c>
      <c r="G665" s="171">
        <v>35262</v>
      </c>
      <c r="H665" s="54">
        <f ca="1">DATEDIF(G665,TODAY(),"Y")</f>
        <v>20</v>
      </c>
      <c r="I665" s="170" t="str">
        <f>CHOOSE(MONTH(G665),"January","February","March","April","May","June","July","August","September","October","November","December")</f>
        <v>July</v>
      </c>
      <c r="J665" s="55"/>
      <c r="K665" s="56">
        <v>54126</v>
      </c>
      <c r="L665" s="169">
        <v>1</v>
      </c>
    </row>
    <row r="666" spans="1:12" x14ac:dyDescent="0.25">
      <c r="A666" s="164" t="s">
        <v>953</v>
      </c>
      <c r="B666" s="164" t="s">
        <v>930</v>
      </c>
      <c r="C666" s="174" t="s">
        <v>285</v>
      </c>
      <c r="D666" s="173">
        <v>9192042331</v>
      </c>
      <c r="E666" s="172">
        <v>970466937</v>
      </c>
      <c r="F666" s="164" t="s">
        <v>247</v>
      </c>
      <c r="G666" s="171">
        <v>34223</v>
      </c>
      <c r="H666" s="54">
        <f ca="1">DATEDIF(G666,TODAY(),"Y")</f>
        <v>23</v>
      </c>
      <c r="I666" s="170" t="str">
        <f>CHOOSE(MONTH(G666),"January","February","March","April","May","June","July","August","September","October","November","December")</f>
        <v>September</v>
      </c>
      <c r="J666" s="55"/>
      <c r="K666" s="56">
        <v>74976</v>
      </c>
      <c r="L666" s="169">
        <v>5</v>
      </c>
    </row>
    <row r="667" spans="1:12" x14ac:dyDescent="0.25">
      <c r="A667" s="164" t="s">
        <v>954</v>
      </c>
      <c r="B667" s="164" t="s">
        <v>930</v>
      </c>
      <c r="C667" s="174" t="s">
        <v>271</v>
      </c>
      <c r="D667" s="173">
        <v>9193441810</v>
      </c>
      <c r="E667" s="172">
        <v>317749924</v>
      </c>
      <c r="F667" s="164" t="s">
        <v>247</v>
      </c>
      <c r="G667" s="171">
        <v>34705</v>
      </c>
      <c r="H667" s="54">
        <f ca="1">DATEDIF(G667,TODAY(),"Y")</f>
        <v>21</v>
      </c>
      <c r="I667" s="170" t="str">
        <f>CHOOSE(MONTH(G667),"January","February","March","April","May","June","July","August","September","October","November","December")</f>
        <v>January</v>
      </c>
      <c r="J667" s="55"/>
      <c r="K667" s="56">
        <v>75948</v>
      </c>
      <c r="L667" s="169">
        <v>5</v>
      </c>
    </row>
    <row r="668" spans="1:12" x14ac:dyDescent="0.25">
      <c r="A668" s="164" t="s">
        <v>521</v>
      </c>
      <c r="B668" s="164" t="s">
        <v>930</v>
      </c>
      <c r="C668" s="174" t="s">
        <v>285</v>
      </c>
      <c r="D668" s="173">
        <v>2526860208</v>
      </c>
      <c r="E668" s="172">
        <v>212558012</v>
      </c>
      <c r="F668" s="164" t="s">
        <v>256</v>
      </c>
      <c r="G668" s="171">
        <v>37695</v>
      </c>
      <c r="H668" s="54">
        <f ca="1">DATEDIF(G668,TODAY(),"Y")</f>
        <v>13</v>
      </c>
      <c r="I668" s="170" t="str">
        <f>CHOOSE(MONTH(G668),"January","February","March","April","May","June","July","August","September","October","November","December")</f>
        <v>March</v>
      </c>
      <c r="J668" s="55" t="s">
        <v>257</v>
      </c>
      <c r="K668" s="56">
        <v>75672</v>
      </c>
      <c r="L668" s="169">
        <v>4</v>
      </c>
    </row>
    <row r="669" spans="1:12" x14ac:dyDescent="0.25">
      <c r="A669" s="164" t="s">
        <v>719</v>
      </c>
      <c r="B669" s="164" t="s">
        <v>930</v>
      </c>
      <c r="C669" s="174" t="s">
        <v>245</v>
      </c>
      <c r="D669" s="173">
        <v>2528012440</v>
      </c>
      <c r="E669" s="172">
        <v>247422007</v>
      </c>
      <c r="F669" s="164" t="s">
        <v>247</v>
      </c>
      <c r="G669" s="171">
        <v>36921</v>
      </c>
      <c r="H669" s="54">
        <f ca="1">DATEDIF(G669,TODAY(),"Y")</f>
        <v>15</v>
      </c>
      <c r="I669" s="170" t="str">
        <f>CHOOSE(MONTH(G669),"January","February","March","April","May","June","July","August","September","October","November","December")</f>
        <v>January</v>
      </c>
      <c r="J669" s="55"/>
      <c r="K669" s="56">
        <v>69900</v>
      </c>
      <c r="L669" s="169">
        <v>2</v>
      </c>
    </row>
    <row r="670" spans="1:12" x14ac:dyDescent="0.25">
      <c r="A670" s="164" t="s">
        <v>413</v>
      </c>
      <c r="B670" s="164" t="s">
        <v>930</v>
      </c>
      <c r="C670" s="174" t="s">
        <v>285</v>
      </c>
      <c r="D670" s="173">
        <v>2526391402</v>
      </c>
      <c r="E670" s="172">
        <v>891224981</v>
      </c>
      <c r="F670" s="164" t="s">
        <v>261</v>
      </c>
      <c r="G670" s="171">
        <v>34868</v>
      </c>
      <c r="H670" s="54">
        <f ca="1">DATEDIF(G670,TODAY(),"Y")</f>
        <v>21</v>
      </c>
      <c r="I670" s="170" t="str">
        <f>CHOOSE(MONTH(G670),"January","February","March","April","May","June","July","August","September","October","November","December")</f>
        <v>June</v>
      </c>
      <c r="J670" s="55" t="s">
        <v>276</v>
      </c>
      <c r="K670" s="56">
        <v>13476</v>
      </c>
      <c r="L670" s="169">
        <v>4</v>
      </c>
    </row>
    <row r="671" spans="1:12" x14ac:dyDescent="0.25">
      <c r="A671" s="164" t="s">
        <v>960</v>
      </c>
      <c r="B671" s="164" t="s">
        <v>930</v>
      </c>
      <c r="C671" s="174" t="s">
        <v>251</v>
      </c>
      <c r="D671" s="173">
        <v>9192259651</v>
      </c>
      <c r="E671" s="172">
        <v>635240617</v>
      </c>
      <c r="F671" s="164" t="s">
        <v>256</v>
      </c>
      <c r="G671" s="171">
        <v>37571</v>
      </c>
      <c r="H671" s="54">
        <f ca="1">DATEDIF(G671,TODAY(),"Y")</f>
        <v>13</v>
      </c>
      <c r="I671" s="170" t="str">
        <f>CHOOSE(MONTH(G671),"January","February","March","April","May","June","July","August","September","October","November","December")</f>
        <v>November</v>
      </c>
      <c r="J671" s="55" t="s">
        <v>283</v>
      </c>
      <c r="K671" s="56">
        <v>57156</v>
      </c>
      <c r="L671" s="169">
        <v>3</v>
      </c>
    </row>
    <row r="672" spans="1:12" x14ac:dyDescent="0.25">
      <c r="A672" s="164" t="s">
        <v>428</v>
      </c>
      <c r="B672" s="164" t="s">
        <v>930</v>
      </c>
      <c r="C672" s="174" t="s">
        <v>280</v>
      </c>
      <c r="D672" s="173">
        <v>2525399385</v>
      </c>
      <c r="E672" s="172">
        <v>723066626</v>
      </c>
      <c r="F672" s="164" t="s">
        <v>247</v>
      </c>
      <c r="G672" s="171">
        <v>39166</v>
      </c>
      <c r="H672" s="54">
        <f ca="1">DATEDIF(G672,TODAY(),"Y")</f>
        <v>9</v>
      </c>
      <c r="I672" s="170" t="str">
        <f>CHOOSE(MONTH(G672),"January","February","March","April","May","June","July","August","September","October","November","December")</f>
        <v>March</v>
      </c>
      <c r="J672" s="55"/>
      <c r="K672" s="56">
        <v>39456</v>
      </c>
      <c r="L672" s="169">
        <v>3</v>
      </c>
    </row>
    <row r="673" spans="1:12" x14ac:dyDescent="0.25">
      <c r="A673" s="164" t="s">
        <v>721</v>
      </c>
      <c r="B673" s="164" t="s">
        <v>930</v>
      </c>
      <c r="C673" s="174" t="s">
        <v>271</v>
      </c>
      <c r="D673" s="173">
        <v>9197446192</v>
      </c>
      <c r="E673" s="172">
        <v>964255290</v>
      </c>
      <c r="F673" s="164" t="s">
        <v>256</v>
      </c>
      <c r="G673" s="171">
        <v>40746</v>
      </c>
      <c r="H673" s="54">
        <f ca="1">DATEDIF(G673,TODAY(),"Y")</f>
        <v>5</v>
      </c>
      <c r="I673" s="170" t="str">
        <f>CHOOSE(MONTH(G673),"January","February","March","April","May","June","July","August","September","October","November","December")</f>
        <v>July</v>
      </c>
      <c r="J673" s="55" t="s">
        <v>283</v>
      </c>
      <c r="K673" s="56">
        <v>41988</v>
      </c>
      <c r="L673" s="169">
        <v>3</v>
      </c>
    </row>
    <row r="674" spans="1:12" x14ac:dyDescent="0.25">
      <c r="A674" s="164" t="s">
        <v>883</v>
      </c>
      <c r="B674" s="164" t="s">
        <v>930</v>
      </c>
      <c r="C674" s="174" t="s">
        <v>280</v>
      </c>
      <c r="D674" s="173">
        <v>9198631557</v>
      </c>
      <c r="E674" s="172">
        <v>843299208</v>
      </c>
      <c r="F674" s="164" t="s">
        <v>261</v>
      </c>
      <c r="G674" s="171">
        <v>40263</v>
      </c>
      <c r="H674" s="54">
        <f ca="1">DATEDIF(G674,TODAY(),"Y")</f>
        <v>6</v>
      </c>
      <c r="I674" s="170" t="str">
        <f>CHOOSE(MONTH(G674),"January","February","March","April","May","June","July","August","September","October","November","December")</f>
        <v>March</v>
      </c>
      <c r="J674" s="55" t="s">
        <v>276</v>
      </c>
      <c r="K674" s="56">
        <v>58896</v>
      </c>
      <c r="L674" s="169">
        <v>5</v>
      </c>
    </row>
    <row r="675" spans="1:12" x14ac:dyDescent="0.25">
      <c r="A675" s="164" t="s">
        <v>884</v>
      </c>
      <c r="B675" s="164" t="s">
        <v>930</v>
      </c>
      <c r="C675" s="174" t="s">
        <v>266</v>
      </c>
      <c r="D675" s="173">
        <v>9195060466</v>
      </c>
      <c r="E675" s="172">
        <v>941937371</v>
      </c>
      <c r="F675" s="164" t="s">
        <v>256</v>
      </c>
      <c r="G675" s="171">
        <v>36504</v>
      </c>
      <c r="H675" s="54">
        <f ca="1">DATEDIF(G675,TODAY(),"Y")</f>
        <v>16</v>
      </c>
      <c r="I675" s="170" t="str">
        <f>CHOOSE(MONTH(G675),"January","February","March","April","May","June","July","August","September","October","November","December")</f>
        <v>December</v>
      </c>
      <c r="J675" s="55" t="s">
        <v>257</v>
      </c>
      <c r="K675" s="56">
        <v>103584</v>
      </c>
      <c r="L675" s="169">
        <v>4</v>
      </c>
    </row>
    <row r="676" spans="1:12" x14ac:dyDescent="0.25">
      <c r="A676" s="164" t="s">
        <v>526</v>
      </c>
      <c r="B676" s="164" t="s">
        <v>930</v>
      </c>
      <c r="C676" s="174" t="s">
        <v>285</v>
      </c>
      <c r="D676" s="173">
        <v>2525202015</v>
      </c>
      <c r="E676" s="172">
        <v>151532569</v>
      </c>
      <c r="F676" s="164" t="s">
        <v>247</v>
      </c>
      <c r="G676" s="171">
        <v>41291</v>
      </c>
      <c r="H676" s="54">
        <f ca="1">DATEDIF(G676,TODAY(),"Y")</f>
        <v>3</v>
      </c>
      <c r="I676" s="170" t="str">
        <f>CHOOSE(MONTH(G676),"January","February","March","April","May","June","July","August","September","October","November","December")</f>
        <v>January</v>
      </c>
      <c r="J676" s="55"/>
      <c r="K676" s="56">
        <v>66612</v>
      </c>
      <c r="L676" s="169">
        <v>3</v>
      </c>
    </row>
    <row r="677" spans="1:12" x14ac:dyDescent="0.25">
      <c r="A677" s="164" t="s">
        <v>725</v>
      </c>
      <c r="B677" s="164" t="s">
        <v>930</v>
      </c>
      <c r="C677" s="174" t="s">
        <v>271</v>
      </c>
      <c r="D677" s="173">
        <v>9192729524</v>
      </c>
      <c r="E677" s="172">
        <v>308317457</v>
      </c>
      <c r="F677" s="164" t="s">
        <v>256</v>
      </c>
      <c r="G677" s="171">
        <v>41408</v>
      </c>
      <c r="H677" s="54">
        <f ca="1">DATEDIF(G677,TODAY(),"Y")</f>
        <v>3</v>
      </c>
      <c r="I677" s="170" t="str">
        <f>CHOOSE(MONTH(G677),"January","February","March","April","May","June","July","August","September","October","November","December")</f>
        <v>May</v>
      </c>
      <c r="J677" s="55" t="s">
        <v>257</v>
      </c>
      <c r="K677" s="56">
        <v>27636</v>
      </c>
      <c r="L677" s="169">
        <v>4</v>
      </c>
    </row>
    <row r="678" spans="1:12" x14ac:dyDescent="0.25">
      <c r="A678" s="164" t="s">
        <v>810</v>
      </c>
      <c r="B678" s="164" t="s">
        <v>930</v>
      </c>
      <c r="C678" s="174" t="s">
        <v>271</v>
      </c>
      <c r="D678" s="173">
        <v>2528238755</v>
      </c>
      <c r="E678" s="172">
        <v>918436287</v>
      </c>
      <c r="F678" s="164" t="s">
        <v>247</v>
      </c>
      <c r="G678" s="171">
        <v>33921</v>
      </c>
      <c r="H678" s="54">
        <f ca="1">DATEDIF(G678,TODAY(),"Y")</f>
        <v>23</v>
      </c>
      <c r="I678" s="170" t="str">
        <f>CHOOSE(MONTH(G678),"January","February","March","April","May","June","July","August","September","October","November","December")</f>
        <v>November</v>
      </c>
      <c r="J678" s="55"/>
      <c r="K678" s="56">
        <v>76332</v>
      </c>
      <c r="L678" s="169">
        <v>5</v>
      </c>
    </row>
    <row r="679" spans="1:12" x14ac:dyDescent="0.25">
      <c r="A679" s="164" t="s">
        <v>643</v>
      </c>
      <c r="B679" s="164" t="s">
        <v>930</v>
      </c>
      <c r="C679" s="174" t="s">
        <v>245</v>
      </c>
      <c r="D679" s="173">
        <v>9198443818</v>
      </c>
      <c r="E679" s="172">
        <v>610340294</v>
      </c>
      <c r="F679" s="164" t="s">
        <v>247</v>
      </c>
      <c r="G679" s="171">
        <v>34548</v>
      </c>
      <c r="H679" s="54">
        <f ca="1">DATEDIF(G679,TODAY(),"Y")</f>
        <v>22</v>
      </c>
      <c r="I679" s="170" t="str">
        <f>CHOOSE(MONTH(G679),"January","February","March","April","May","June","July","August","September","October","November","December")</f>
        <v>August</v>
      </c>
      <c r="J679" s="55"/>
      <c r="K679" s="56">
        <v>84360</v>
      </c>
      <c r="L679" s="169">
        <v>3</v>
      </c>
    </row>
    <row r="680" spans="1:12" x14ac:dyDescent="0.25">
      <c r="A680" s="164" t="s">
        <v>812</v>
      </c>
      <c r="B680" s="164" t="s">
        <v>930</v>
      </c>
      <c r="C680" s="174" t="s">
        <v>271</v>
      </c>
      <c r="D680" s="173">
        <v>2526026842</v>
      </c>
      <c r="E680" s="172">
        <v>375875723</v>
      </c>
      <c r="F680" s="164" t="s">
        <v>247</v>
      </c>
      <c r="G680" s="171">
        <v>35451</v>
      </c>
      <c r="H680" s="54">
        <f ca="1">DATEDIF(G680,TODAY(),"Y")</f>
        <v>19</v>
      </c>
      <c r="I680" s="170" t="str">
        <f>CHOOSE(MONTH(G680),"January","February","March","April","May","June","July","August","September","October","November","December")</f>
        <v>January</v>
      </c>
      <c r="J680" s="55"/>
      <c r="K680" s="56">
        <v>77116</v>
      </c>
      <c r="L680" s="169">
        <v>3</v>
      </c>
    </row>
    <row r="681" spans="1:12" x14ac:dyDescent="0.25">
      <c r="A681" s="164" t="s">
        <v>645</v>
      </c>
      <c r="B681" s="164" t="s">
        <v>930</v>
      </c>
      <c r="C681" s="174" t="s">
        <v>271</v>
      </c>
      <c r="D681" s="173">
        <v>2526718651</v>
      </c>
      <c r="E681" s="172">
        <v>671823263</v>
      </c>
      <c r="F681" s="164" t="s">
        <v>256</v>
      </c>
      <c r="G681" s="171">
        <v>41365</v>
      </c>
      <c r="H681" s="54">
        <f ca="1">DATEDIF(G681,TODAY(),"Y")</f>
        <v>3</v>
      </c>
      <c r="I681" s="170" t="str">
        <f>CHOOSE(MONTH(G681),"January","February","March","April","May","June","July","August","September","October","November","December")</f>
        <v>April</v>
      </c>
      <c r="J681" s="55" t="s">
        <v>257</v>
      </c>
      <c r="K681" s="56">
        <v>103968</v>
      </c>
      <c r="L681" s="169">
        <v>3</v>
      </c>
    </row>
    <row r="682" spans="1:12" x14ac:dyDescent="0.25">
      <c r="A682" s="164" t="s">
        <v>536</v>
      </c>
      <c r="B682" s="164" t="s">
        <v>930</v>
      </c>
      <c r="C682" s="174" t="s">
        <v>280</v>
      </c>
      <c r="D682" s="173">
        <v>9196648050</v>
      </c>
      <c r="E682" s="172">
        <v>733358713</v>
      </c>
      <c r="F682" s="164" t="s">
        <v>247</v>
      </c>
      <c r="G682" s="171">
        <v>36066</v>
      </c>
      <c r="H682" s="54">
        <f ca="1">DATEDIF(G682,TODAY(),"Y")</f>
        <v>18</v>
      </c>
      <c r="I682" s="170" t="str">
        <f>CHOOSE(MONTH(G682),"January","February","March","April","May","June","July","August","September","October","November","December")</f>
        <v>September</v>
      </c>
      <c r="J682" s="55"/>
      <c r="K682" s="56">
        <v>105396</v>
      </c>
      <c r="L682" s="169">
        <v>2</v>
      </c>
    </row>
    <row r="683" spans="1:12" x14ac:dyDescent="0.25">
      <c r="A683" s="164" t="s">
        <v>815</v>
      </c>
      <c r="B683" s="164" t="s">
        <v>930</v>
      </c>
      <c r="C683" s="174" t="s">
        <v>285</v>
      </c>
      <c r="D683" s="173">
        <v>2524877123</v>
      </c>
      <c r="E683" s="172">
        <v>892040187</v>
      </c>
      <c r="F683" s="164" t="s">
        <v>256</v>
      </c>
      <c r="G683" s="171">
        <v>35014</v>
      </c>
      <c r="H683" s="54">
        <f ca="1">DATEDIF(G683,TODAY(),"Y")</f>
        <v>20</v>
      </c>
      <c r="I683" s="170" t="str">
        <f>CHOOSE(MONTH(G683),"January","February","March","April","May","June","July","August","September","October","November","December")</f>
        <v>November</v>
      </c>
      <c r="J683" s="55" t="s">
        <v>283</v>
      </c>
      <c r="K683" s="56">
        <v>104664</v>
      </c>
      <c r="L683" s="169">
        <v>1</v>
      </c>
    </row>
    <row r="684" spans="1:12" x14ac:dyDescent="0.25">
      <c r="A684" s="164" t="s">
        <v>540</v>
      </c>
      <c r="B684" s="164" t="s">
        <v>930</v>
      </c>
      <c r="C684" s="174" t="s">
        <v>266</v>
      </c>
      <c r="D684" s="173">
        <v>2521202348</v>
      </c>
      <c r="E684" s="172">
        <v>758001890</v>
      </c>
      <c r="F684" s="164" t="s">
        <v>261</v>
      </c>
      <c r="G684" s="171">
        <v>36025</v>
      </c>
      <c r="H684" s="54">
        <f ca="1">DATEDIF(G684,TODAY(),"Y")</f>
        <v>18</v>
      </c>
      <c r="I684" s="170" t="str">
        <f>CHOOSE(MONTH(G684),"January","February","March","April","May","June","July","August","September","October","November","December")</f>
        <v>August</v>
      </c>
      <c r="J684" s="55" t="s">
        <v>283</v>
      </c>
      <c r="K684" s="56">
        <v>45726</v>
      </c>
      <c r="L684" s="169">
        <v>2</v>
      </c>
    </row>
    <row r="685" spans="1:12" x14ac:dyDescent="0.25">
      <c r="A685" s="164" t="s">
        <v>981</v>
      </c>
      <c r="B685" s="164" t="s">
        <v>930</v>
      </c>
      <c r="C685" s="174" t="s">
        <v>251</v>
      </c>
      <c r="D685" s="173">
        <v>2522749909</v>
      </c>
      <c r="E685" s="172">
        <v>900160539</v>
      </c>
      <c r="F685" s="164" t="s">
        <v>261</v>
      </c>
      <c r="G685" s="171">
        <v>37093</v>
      </c>
      <c r="H685" s="54">
        <f ca="1">DATEDIF(G685,TODAY(),"Y")</f>
        <v>15</v>
      </c>
      <c r="I685" s="170" t="str">
        <f>CHOOSE(MONTH(G685),"January","February","March","April","May","June","July","August","September","October","November","December")</f>
        <v>July</v>
      </c>
      <c r="J685" s="55" t="s">
        <v>267</v>
      </c>
      <c r="K685" s="56">
        <v>23790</v>
      </c>
      <c r="L685" s="169">
        <v>2</v>
      </c>
    </row>
    <row r="686" spans="1:12" x14ac:dyDescent="0.25">
      <c r="A686" s="164" t="s">
        <v>982</v>
      </c>
      <c r="B686" s="164" t="s">
        <v>930</v>
      </c>
      <c r="C686" s="174" t="s">
        <v>285</v>
      </c>
      <c r="D686" s="173">
        <v>2521277028</v>
      </c>
      <c r="E686" s="172">
        <v>904497673</v>
      </c>
      <c r="F686" s="164" t="s">
        <v>247</v>
      </c>
      <c r="G686" s="171">
        <v>33872</v>
      </c>
      <c r="H686" s="54">
        <f ca="1">DATEDIF(G686,TODAY(),"Y")</f>
        <v>24</v>
      </c>
      <c r="I686" s="170" t="str">
        <f>CHOOSE(MONTH(G686),"January","February","March","April","May","June","July","August","September","October","November","December")</f>
        <v>September</v>
      </c>
      <c r="J686" s="55"/>
      <c r="K686" s="56">
        <v>28008</v>
      </c>
      <c r="L686" s="169">
        <v>4</v>
      </c>
    </row>
    <row r="687" spans="1:12" x14ac:dyDescent="0.25">
      <c r="A687" s="164" t="s">
        <v>541</v>
      </c>
      <c r="B687" s="164" t="s">
        <v>930</v>
      </c>
      <c r="C687" s="174" t="s">
        <v>271</v>
      </c>
      <c r="D687" s="173">
        <v>9196999991</v>
      </c>
      <c r="E687" s="172">
        <v>793256568</v>
      </c>
      <c r="F687" s="164" t="s">
        <v>256</v>
      </c>
      <c r="G687" s="171">
        <v>36092</v>
      </c>
      <c r="H687" s="54">
        <f ca="1">DATEDIF(G687,TODAY(),"Y")</f>
        <v>18</v>
      </c>
      <c r="I687" s="170" t="str">
        <f>CHOOSE(MONTH(G687),"January","February","March","April","May","June","July","August","September","October","November","December")</f>
        <v>October</v>
      </c>
      <c r="J687" s="55" t="s">
        <v>257</v>
      </c>
      <c r="K687" s="56">
        <v>32556</v>
      </c>
      <c r="L687" s="169">
        <v>5</v>
      </c>
    </row>
    <row r="688" spans="1:12" x14ac:dyDescent="0.25">
      <c r="A688" s="164" t="s">
        <v>983</v>
      </c>
      <c r="B688" s="164" t="s">
        <v>930</v>
      </c>
      <c r="C688" s="174" t="s">
        <v>285</v>
      </c>
      <c r="D688" s="173">
        <v>2527091949</v>
      </c>
      <c r="E688" s="172">
        <v>177324163</v>
      </c>
      <c r="F688" s="164" t="s">
        <v>256</v>
      </c>
      <c r="G688" s="171">
        <v>38538</v>
      </c>
      <c r="H688" s="54">
        <f ca="1">DATEDIF(G688,TODAY(),"Y")</f>
        <v>11</v>
      </c>
      <c r="I688" s="170" t="str">
        <f>CHOOSE(MONTH(G688),"January","February","March","April","May","June","July","August","September","October","November","December")</f>
        <v>July</v>
      </c>
      <c r="J688" s="55" t="s">
        <v>283</v>
      </c>
      <c r="K688" s="56">
        <v>57612</v>
      </c>
      <c r="L688" s="169">
        <v>3</v>
      </c>
    </row>
    <row r="689" spans="1:12" x14ac:dyDescent="0.25">
      <c r="A689" s="164" t="s">
        <v>435</v>
      </c>
      <c r="B689" s="164" t="s">
        <v>930</v>
      </c>
      <c r="C689" s="174" t="s">
        <v>271</v>
      </c>
      <c r="D689" s="173">
        <v>2525717431</v>
      </c>
      <c r="E689" s="172">
        <v>111616346</v>
      </c>
      <c r="F689" s="164" t="s">
        <v>247</v>
      </c>
      <c r="G689" s="171">
        <v>34234</v>
      </c>
      <c r="H689" s="54">
        <f ca="1">DATEDIF(G689,TODAY(),"Y")</f>
        <v>23</v>
      </c>
      <c r="I689" s="170" t="str">
        <f>CHOOSE(MONTH(G689),"January","February","March","April","May","June","July","August","September","October","November","December")</f>
        <v>September</v>
      </c>
      <c r="J689" s="55"/>
      <c r="K689" s="56">
        <v>73361</v>
      </c>
      <c r="L689" s="169">
        <v>4</v>
      </c>
    </row>
    <row r="690" spans="1:12" x14ac:dyDescent="0.25">
      <c r="A690" s="164" t="s">
        <v>399</v>
      </c>
      <c r="B690" s="164" t="s">
        <v>930</v>
      </c>
      <c r="C690" s="174" t="s">
        <v>266</v>
      </c>
      <c r="D690" s="173">
        <v>9192913490</v>
      </c>
      <c r="E690" s="172">
        <v>616055292</v>
      </c>
      <c r="F690" s="164" t="s">
        <v>256</v>
      </c>
      <c r="G690" s="171">
        <v>34649</v>
      </c>
      <c r="H690" s="54">
        <f ca="1">DATEDIF(G690,TODAY(),"Y")</f>
        <v>21</v>
      </c>
      <c r="I690" s="170" t="str">
        <f>CHOOSE(MONTH(G690),"January","February","March","April","May","June","July","August","September","October","November","December")</f>
        <v>November</v>
      </c>
      <c r="J690" s="55" t="s">
        <v>267</v>
      </c>
      <c r="K690" s="56">
        <v>38592</v>
      </c>
      <c r="L690" s="169">
        <v>3</v>
      </c>
    </row>
    <row r="691" spans="1:12" x14ac:dyDescent="0.25">
      <c r="A691" s="164" t="s">
        <v>339</v>
      </c>
      <c r="B691" s="164" t="s">
        <v>930</v>
      </c>
      <c r="C691" s="174" t="s">
        <v>285</v>
      </c>
      <c r="D691" s="173">
        <v>2525821616</v>
      </c>
      <c r="E691" s="172">
        <v>800685434</v>
      </c>
      <c r="F691" s="164" t="s">
        <v>256</v>
      </c>
      <c r="G691" s="171">
        <v>37684</v>
      </c>
      <c r="H691" s="54">
        <f ca="1">DATEDIF(G691,TODAY(),"Y")</f>
        <v>13</v>
      </c>
      <c r="I691" s="170" t="str">
        <f>CHOOSE(MONTH(G691),"January","February","March","April","May","June","July","August","September","October","November","December")</f>
        <v>March</v>
      </c>
      <c r="J691" s="55" t="s">
        <v>276</v>
      </c>
      <c r="K691" s="56">
        <v>59916</v>
      </c>
      <c r="L691" s="169">
        <v>1</v>
      </c>
    </row>
    <row r="692" spans="1:12" x14ac:dyDescent="0.25">
      <c r="A692" s="164" t="s">
        <v>986</v>
      </c>
      <c r="B692" s="164" t="s">
        <v>930</v>
      </c>
      <c r="C692" s="174" t="s">
        <v>245</v>
      </c>
      <c r="D692" s="173">
        <v>9198405552</v>
      </c>
      <c r="E692" s="172">
        <v>210491464</v>
      </c>
      <c r="F692" s="164" t="s">
        <v>256</v>
      </c>
      <c r="G692" s="171">
        <v>40330</v>
      </c>
      <c r="H692" s="54">
        <f ca="1">DATEDIF(G692,TODAY(),"Y")</f>
        <v>6</v>
      </c>
      <c r="I692" s="170" t="str">
        <f>CHOOSE(MONTH(G692),"January","February","March","April","May","June","July","August","September","October","November","December")</f>
        <v>June</v>
      </c>
      <c r="J692" s="55" t="s">
        <v>257</v>
      </c>
      <c r="K692" s="56">
        <v>95256</v>
      </c>
      <c r="L692" s="169">
        <v>5</v>
      </c>
    </row>
    <row r="693" spans="1:12" x14ac:dyDescent="0.25">
      <c r="A693" s="164" t="s">
        <v>901</v>
      </c>
      <c r="B693" s="164" t="s">
        <v>930</v>
      </c>
      <c r="C693" s="174" t="s">
        <v>285</v>
      </c>
      <c r="D693" s="173">
        <v>2526129939</v>
      </c>
      <c r="E693" s="172">
        <v>380304349</v>
      </c>
      <c r="F693" s="164" t="s">
        <v>256</v>
      </c>
      <c r="G693" s="171">
        <v>37277</v>
      </c>
      <c r="H693" s="54">
        <f ca="1">DATEDIF(G693,TODAY(),"Y")</f>
        <v>14</v>
      </c>
      <c r="I693" s="170" t="str">
        <f>CHOOSE(MONTH(G693),"January","February","March","April","May","June","July","August","September","October","November","December")</f>
        <v>January</v>
      </c>
      <c r="J693" s="55" t="s">
        <v>283</v>
      </c>
      <c r="K693" s="56">
        <v>42552</v>
      </c>
      <c r="L693" s="169">
        <v>1</v>
      </c>
    </row>
    <row r="694" spans="1:12" x14ac:dyDescent="0.25">
      <c r="A694" s="164" t="s">
        <v>549</v>
      </c>
      <c r="B694" s="164" t="s">
        <v>930</v>
      </c>
      <c r="C694" s="174" t="s">
        <v>245</v>
      </c>
      <c r="D694" s="173">
        <v>2528566597</v>
      </c>
      <c r="E694" s="172">
        <v>262585858</v>
      </c>
      <c r="F694" s="164" t="s">
        <v>261</v>
      </c>
      <c r="G694" s="171">
        <v>36246</v>
      </c>
      <c r="H694" s="54">
        <f ca="1">DATEDIF(G694,TODAY(),"Y")</f>
        <v>17</v>
      </c>
      <c r="I694" s="170" t="str">
        <f>CHOOSE(MONTH(G694),"January","February","March","April","May","June","July","August","September","October","November","December")</f>
        <v>March</v>
      </c>
      <c r="J694" s="55" t="s">
        <v>262</v>
      </c>
      <c r="K694" s="56">
        <v>16428</v>
      </c>
      <c r="L694" s="169">
        <v>5</v>
      </c>
    </row>
    <row r="695" spans="1:12" x14ac:dyDescent="0.25">
      <c r="A695" s="164" t="s">
        <v>701</v>
      </c>
      <c r="B695" s="164" t="s">
        <v>930</v>
      </c>
      <c r="C695" s="174" t="s">
        <v>271</v>
      </c>
      <c r="D695" s="173">
        <v>9195621928</v>
      </c>
      <c r="E695" s="172">
        <v>595022550</v>
      </c>
      <c r="F695" s="164" t="s">
        <v>256</v>
      </c>
      <c r="G695" s="171">
        <v>34685</v>
      </c>
      <c r="H695" s="54">
        <f ca="1">DATEDIF(G695,TODAY(),"Y")</f>
        <v>21</v>
      </c>
      <c r="I695" s="170" t="str">
        <f>CHOOSE(MONTH(G695),"January","February","March","April","May","June","July","August","September","October","November","December")</f>
        <v>December</v>
      </c>
      <c r="J695" s="55" t="s">
        <v>262</v>
      </c>
      <c r="K695" s="56">
        <v>71388</v>
      </c>
      <c r="L695" s="169">
        <v>3</v>
      </c>
    </row>
    <row r="696" spans="1:12" x14ac:dyDescent="0.25">
      <c r="A696" s="164" t="s">
        <v>402</v>
      </c>
      <c r="B696" s="164" t="s">
        <v>930</v>
      </c>
      <c r="C696" s="174" t="s">
        <v>285</v>
      </c>
      <c r="D696" s="173">
        <v>2528249735</v>
      </c>
      <c r="E696" s="172">
        <v>627494412</v>
      </c>
      <c r="F696" s="164" t="s">
        <v>256</v>
      </c>
      <c r="G696" s="171">
        <v>36004</v>
      </c>
      <c r="H696" s="54">
        <f ca="1">DATEDIF(G696,TODAY(),"Y")</f>
        <v>18</v>
      </c>
      <c r="I696" s="170" t="str">
        <f>CHOOSE(MONTH(G696),"January","February","March","April","May","June","July","August","September","October","November","December")</f>
        <v>July</v>
      </c>
      <c r="J696" s="55" t="s">
        <v>257</v>
      </c>
      <c r="K696" s="56">
        <v>70044</v>
      </c>
      <c r="L696" s="169">
        <v>5</v>
      </c>
    </row>
    <row r="697" spans="1:12" x14ac:dyDescent="0.25">
      <c r="A697" s="164" t="s">
        <v>693</v>
      </c>
      <c r="B697" s="164" t="s">
        <v>930</v>
      </c>
      <c r="C697" s="174" t="s">
        <v>285</v>
      </c>
      <c r="D697" s="173">
        <v>2522400087</v>
      </c>
      <c r="E697" s="172">
        <v>717503282</v>
      </c>
      <c r="F697" s="164" t="s">
        <v>247</v>
      </c>
      <c r="G697" s="171">
        <v>41251</v>
      </c>
      <c r="H697" s="54">
        <f ca="1">DATEDIF(G697,TODAY(),"Y")</f>
        <v>3</v>
      </c>
      <c r="I697" s="170" t="str">
        <f>CHOOSE(MONTH(G697),"January","February","March","April","May","June","July","August","September","October","November","December")</f>
        <v>December</v>
      </c>
      <c r="J697" s="55"/>
      <c r="K697" s="56">
        <v>55884</v>
      </c>
      <c r="L697" s="169">
        <v>4</v>
      </c>
    </row>
    <row r="698" spans="1:12" x14ac:dyDescent="0.25">
      <c r="A698" s="164" t="s">
        <v>989</v>
      </c>
      <c r="B698" s="164" t="s">
        <v>930</v>
      </c>
      <c r="C698" s="174" t="s">
        <v>271</v>
      </c>
      <c r="D698" s="173">
        <v>2526609693</v>
      </c>
      <c r="E698" s="172">
        <v>657835603</v>
      </c>
      <c r="F698" s="164" t="s">
        <v>256</v>
      </c>
      <c r="G698" s="171">
        <v>34007</v>
      </c>
      <c r="H698" s="54">
        <f ca="1">DATEDIF(G698,TODAY(),"Y")</f>
        <v>23</v>
      </c>
      <c r="I698" s="170" t="str">
        <f>CHOOSE(MONTH(G698),"January","February","March","April","May","June","July","August","September","October","November","December")</f>
        <v>February</v>
      </c>
      <c r="J698" s="55" t="s">
        <v>257</v>
      </c>
      <c r="K698" s="56">
        <v>29040</v>
      </c>
      <c r="L698" s="169">
        <v>5</v>
      </c>
    </row>
    <row r="699" spans="1:12" x14ac:dyDescent="0.25">
      <c r="A699" s="164" t="s">
        <v>824</v>
      </c>
      <c r="B699" s="164" t="s">
        <v>930</v>
      </c>
      <c r="C699" s="174" t="s">
        <v>245</v>
      </c>
      <c r="D699" s="173">
        <v>2521603964</v>
      </c>
      <c r="E699" s="172">
        <v>145495793</v>
      </c>
      <c r="F699" s="164" t="s">
        <v>261</v>
      </c>
      <c r="G699" s="171">
        <v>35688</v>
      </c>
      <c r="H699" s="54">
        <f ca="1">DATEDIF(G699,TODAY(),"Y")</f>
        <v>19</v>
      </c>
      <c r="I699" s="170" t="str">
        <f>CHOOSE(MONTH(G699),"January","February","March","April","May","June","July","August","September","October","November","December")</f>
        <v>September</v>
      </c>
      <c r="J699" s="55" t="s">
        <v>276</v>
      </c>
      <c r="K699" s="56">
        <v>27600</v>
      </c>
      <c r="L699" s="169">
        <v>4</v>
      </c>
    </row>
    <row r="700" spans="1:12" x14ac:dyDescent="0.25">
      <c r="A700" s="164" t="s">
        <v>414</v>
      </c>
      <c r="B700" s="164" t="s">
        <v>930</v>
      </c>
      <c r="C700" s="174" t="s">
        <v>285</v>
      </c>
      <c r="D700" s="173">
        <v>9196778600</v>
      </c>
      <c r="E700" s="172">
        <v>121173068</v>
      </c>
      <c r="F700" s="164" t="s">
        <v>256</v>
      </c>
      <c r="G700" s="171">
        <v>41296</v>
      </c>
      <c r="H700" s="54">
        <f ca="1">DATEDIF(G700,TODAY(),"Y")</f>
        <v>3</v>
      </c>
      <c r="I700" s="170" t="str">
        <f>CHOOSE(MONTH(G700),"January","February","March","April","May","June","July","August","September","October","November","December")</f>
        <v>January</v>
      </c>
      <c r="J700" s="55" t="s">
        <v>257</v>
      </c>
      <c r="K700" s="56">
        <v>55668</v>
      </c>
      <c r="L700" s="169">
        <v>5</v>
      </c>
    </row>
    <row r="701" spans="1:12" x14ac:dyDescent="0.25">
      <c r="A701" s="164" t="s">
        <v>403</v>
      </c>
      <c r="B701" s="164" t="s">
        <v>930</v>
      </c>
      <c r="C701" s="174" t="s">
        <v>280</v>
      </c>
      <c r="D701" s="173">
        <v>2525261239</v>
      </c>
      <c r="E701" s="172">
        <v>230192897</v>
      </c>
      <c r="F701" s="164" t="s">
        <v>256</v>
      </c>
      <c r="G701" s="171">
        <v>40169</v>
      </c>
      <c r="H701" s="54">
        <f ca="1">DATEDIF(G701,TODAY(),"Y")</f>
        <v>6</v>
      </c>
      <c r="I701" s="170" t="str">
        <f>CHOOSE(MONTH(G701),"January","February","March","April","May","June","July","August","September","October","November","December")</f>
        <v>December</v>
      </c>
      <c r="J701" s="55" t="s">
        <v>262</v>
      </c>
      <c r="K701" s="56">
        <v>82632</v>
      </c>
      <c r="L701" s="169">
        <v>2</v>
      </c>
    </row>
    <row r="702" spans="1:12" x14ac:dyDescent="0.25">
      <c r="A702" s="164" t="s">
        <v>566</v>
      </c>
      <c r="B702" s="164" t="s">
        <v>930</v>
      </c>
      <c r="C702" s="174" t="s">
        <v>280</v>
      </c>
      <c r="D702" s="173">
        <v>2522787318</v>
      </c>
      <c r="E702" s="172">
        <v>364525917</v>
      </c>
      <c r="F702" s="164" t="s">
        <v>256</v>
      </c>
      <c r="G702" s="171">
        <v>34706</v>
      </c>
      <c r="H702" s="54">
        <f ca="1">DATEDIF(G702,TODAY(),"Y")</f>
        <v>21</v>
      </c>
      <c r="I702" s="170" t="str">
        <f>CHOOSE(MONTH(G702),"January","February","March","April","May","June","July","August","September","October","November","December")</f>
        <v>January</v>
      </c>
      <c r="J702" s="55" t="s">
        <v>283</v>
      </c>
      <c r="K702" s="56">
        <v>55692</v>
      </c>
      <c r="L702" s="169">
        <v>2</v>
      </c>
    </row>
    <row r="703" spans="1:12" x14ac:dyDescent="0.25">
      <c r="A703" s="164" t="s">
        <v>442</v>
      </c>
      <c r="B703" s="164" t="s">
        <v>930</v>
      </c>
      <c r="C703" s="174" t="s">
        <v>271</v>
      </c>
      <c r="D703" s="173">
        <v>9196526117</v>
      </c>
      <c r="E703" s="172">
        <v>318723704</v>
      </c>
      <c r="F703" s="164" t="s">
        <v>256</v>
      </c>
      <c r="G703" s="171">
        <v>35153</v>
      </c>
      <c r="H703" s="54">
        <f ca="1">DATEDIF(G703,TODAY(),"Y")</f>
        <v>20</v>
      </c>
      <c r="I703" s="170" t="str">
        <f>CHOOSE(MONTH(G703),"January","February","March","April","May","June","July","August","September","October","November","December")</f>
        <v>March</v>
      </c>
      <c r="J703" s="55" t="s">
        <v>283</v>
      </c>
      <c r="K703" s="56">
        <v>88620</v>
      </c>
      <c r="L703" s="169">
        <v>2</v>
      </c>
    </row>
    <row r="704" spans="1:12" x14ac:dyDescent="0.25">
      <c r="A704" s="175" t="s">
        <v>255</v>
      </c>
      <c r="B704" s="164" t="s">
        <v>930</v>
      </c>
      <c r="C704" s="174" t="s">
        <v>285</v>
      </c>
      <c r="D704" s="173">
        <v>9192727944</v>
      </c>
      <c r="E704" s="172">
        <v>546546374</v>
      </c>
      <c r="F704" s="164" t="s">
        <v>261</v>
      </c>
      <c r="G704" s="171">
        <v>37190</v>
      </c>
      <c r="H704" s="54">
        <f ca="1">DATEDIF(G704,TODAY(),"Y")</f>
        <v>15</v>
      </c>
      <c r="I704" s="170" t="str">
        <f>CHOOSE(MONTH(G704),"January","February","March","April","May","June","July","August","September","October","November","December")</f>
        <v>October</v>
      </c>
      <c r="J704" s="55" t="s">
        <v>283</v>
      </c>
      <c r="K704" s="56">
        <v>31422</v>
      </c>
      <c r="L704" s="169">
        <v>5</v>
      </c>
    </row>
    <row r="705" spans="1:12" x14ac:dyDescent="0.25">
      <c r="A705" s="164" t="s">
        <v>996</v>
      </c>
      <c r="B705" s="164" t="s">
        <v>930</v>
      </c>
      <c r="C705" s="174" t="s">
        <v>280</v>
      </c>
      <c r="D705" s="173">
        <v>2528552110</v>
      </c>
      <c r="E705" s="172">
        <v>749768847</v>
      </c>
      <c r="F705" s="164" t="s">
        <v>247</v>
      </c>
      <c r="G705" s="171">
        <v>36008</v>
      </c>
      <c r="H705" s="54">
        <f ca="1">DATEDIF(G705,TODAY(),"Y")</f>
        <v>18</v>
      </c>
      <c r="I705" s="170" t="str">
        <f>CHOOSE(MONTH(G705),"January","February","March","April","May","June","July","August","September","October","November","December")</f>
        <v>August</v>
      </c>
      <c r="J705" s="55"/>
      <c r="K705" s="56">
        <v>50124</v>
      </c>
      <c r="L705" s="169">
        <v>5</v>
      </c>
    </row>
    <row r="706" spans="1:12" x14ac:dyDescent="0.25">
      <c r="A706" s="164" t="s">
        <v>567</v>
      </c>
      <c r="B706" s="164" t="s">
        <v>930</v>
      </c>
      <c r="C706" s="174" t="s">
        <v>285</v>
      </c>
      <c r="D706" s="173">
        <v>2528217409</v>
      </c>
      <c r="E706" s="172">
        <v>296641985</v>
      </c>
      <c r="F706" s="164" t="s">
        <v>256</v>
      </c>
      <c r="G706" s="171">
        <v>36355</v>
      </c>
      <c r="H706" s="54">
        <f ca="1">DATEDIF(G706,TODAY(),"Y")</f>
        <v>17</v>
      </c>
      <c r="I706" s="170" t="str">
        <f>CHOOSE(MONTH(G706),"January","February","March","April","May","June","July","August","September","October","November","December")</f>
        <v>July</v>
      </c>
      <c r="J706" s="55" t="s">
        <v>283</v>
      </c>
      <c r="K706" s="56">
        <v>49656</v>
      </c>
      <c r="L706" s="169">
        <v>2</v>
      </c>
    </row>
    <row r="707" spans="1:12" x14ac:dyDescent="0.25">
      <c r="A707" s="164" t="s">
        <v>570</v>
      </c>
      <c r="B707" s="164" t="s">
        <v>930</v>
      </c>
      <c r="C707" s="174" t="s">
        <v>251</v>
      </c>
      <c r="D707" s="173">
        <v>9192094386</v>
      </c>
      <c r="E707" s="172">
        <v>332494481</v>
      </c>
      <c r="F707" s="164" t="s">
        <v>256</v>
      </c>
      <c r="G707" s="171">
        <v>36808</v>
      </c>
      <c r="H707" s="54">
        <f ca="1">DATEDIF(G707,TODAY(),"Y")</f>
        <v>16</v>
      </c>
      <c r="I707" s="170" t="str">
        <f>CHOOSE(MONTH(G707),"January","February","March","April","May","June","July","August","September","October","November","December")</f>
        <v>October</v>
      </c>
      <c r="J707" s="55" t="s">
        <v>283</v>
      </c>
      <c r="K707" s="56">
        <v>58092</v>
      </c>
      <c r="L707" s="169">
        <v>5</v>
      </c>
    </row>
    <row r="708" spans="1:12" x14ac:dyDescent="0.25">
      <c r="A708" s="164" t="s">
        <v>576</v>
      </c>
      <c r="B708" s="164" t="s">
        <v>930</v>
      </c>
      <c r="C708" s="174" t="s">
        <v>245</v>
      </c>
      <c r="D708" s="173">
        <v>9197103200</v>
      </c>
      <c r="E708" s="172">
        <v>502580266</v>
      </c>
      <c r="F708" s="164" t="s">
        <v>252</v>
      </c>
      <c r="G708" s="171">
        <v>39374</v>
      </c>
      <c r="H708" s="54">
        <f ca="1">DATEDIF(G708,TODAY(),"Y")</f>
        <v>9</v>
      </c>
      <c r="I708" s="170" t="str">
        <f>CHOOSE(MONTH(G708),"January","February","March","April","May","June","July","August","September","October","November","December")</f>
        <v>October</v>
      </c>
      <c r="J708" s="55"/>
      <c r="K708" s="56">
        <v>44813</v>
      </c>
      <c r="L708" s="169">
        <v>2</v>
      </c>
    </row>
    <row r="709" spans="1:12" x14ac:dyDescent="0.25">
      <c r="A709" s="164" t="s">
        <v>350</v>
      </c>
      <c r="B709" s="164" t="s">
        <v>930</v>
      </c>
      <c r="C709" s="174" t="s">
        <v>285</v>
      </c>
      <c r="D709" s="173">
        <v>9194900514</v>
      </c>
      <c r="E709" s="172">
        <v>186346711</v>
      </c>
      <c r="F709" s="164" t="s">
        <v>256</v>
      </c>
      <c r="G709" s="171">
        <v>37347</v>
      </c>
      <c r="H709" s="54">
        <f ca="1">DATEDIF(G709,TODAY(),"Y")</f>
        <v>14</v>
      </c>
      <c r="I709" s="170" t="str">
        <f>CHOOSE(MONTH(G709),"January","February","March","April","May","June","July","August","September","October","November","December")</f>
        <v>April</v>
      </c>
      <c r="J709" s="55" t="s">
        <v>262</v>
      </c>
      <c r="K709" s="56">
        <v>86364</v>
      </c>
      <c r="L709" s="169">
        <v>4</v>
      </c>
    </row>
    <row r="710" spans="1:12" x14ac:dyDescent="0.25">
      <c r="A710" s="164" t="s">
        <v>284</v>
      </c>
      <c r="B710" s="164" t="s">
        <v>930</v>
      </c>
      <c r="C710" s="174" t="s">
        <v>271</v>
      </c>
      <c r="D710" s="173">
        <v>2524141191</v>
      </c>
      <c r="E710" s="172">
        <v>418701946</v>
      </c>
      <c r="F710" s="164" t="s">
        <v>261</v>
      </c>
      <c r="G710" s="171">
        <v>34882</v>
      </c>
      <c r="H710" s="54">
        <f ca="1">DATEDIF(G710,TODAY(),"Y")</f>
        <v>21</v>
      </c>
      <c r="I710" s="170" t="str">
        <f>CHOOSE(MONTH(G710),"January","February","March","April","May","June","July","August","September","October","November","December")</f>
        <v>July</v>
      </c>
      <c r="J710" s="55" t="s">
        <v>257</v>
      </c>
      <c r="K710" s="56">
        <v>59454</v>
      </c>
      <c r="L710" s="169">
        <v>2</v>
      </c>
    </row>
    <row r="711" spans="1:12" x14ac:dyDescent="0.25">
      <c r="A711" s="164" t="s">
        <v>829</v>
      </c>
      <c r="B711" s="164" t="s">
        <v>930</v>
      </c>
      <c r="C711" s="174" t="s">
        <v>285</v>
      </c>
      <c r="D711" s="173">
        <v>9197049910</v>
      </c>
      <c r="E711" s="172">
        <v>283476654</v>
      </c>
      <c r="F711" s="164" t="s">
        <v>256</v>
      </c>
      <c r="G711" s="171">
        <v>34409</v>
      </c>
      <c r="H711" s="54">
        <f ca="1">DATEDIF(G711,TODAY(),"Y")</f>
        <v>22</v>
      </c>
      <c r="I711" s="170" t="str">
        <f>CHOOSE(MONTH(G711),"January","February","March","April","May","June","July","August","September","October","November","December")</f>
        <v>March</v>
      </c>
      <c r="J711" s="55" t="s">
        <v>262</v>
      </c>
      <c r="K711" s="56">
        <v>55860</v>
      </c>
      <c r="L711" s="169">
        <v>4</v>
      </c>
    </row>
    <row r="712" spans="1:12" x14ac:dyDescent="0.25">
      <c r="A712" s="164" t="s">
        <v>461</v>
      </c>
      <c r="B712" s="164" t="s">
        <v>930</v>
      </c>
      <c r="C712" s="174" t="s">
        <v>280</v>
      </c>
      <c r="D712" s="173">
        <v>9191630739</v>
      </c>
      <c r="E712" s="172">
        <v>643984096</v>
      </c>
      <c r="F712" s="164" t="s">
        <v>247</v>
      </c>
      <c r="G712" s="171">
        <v>34141</v>
      </c>
      <c r="H712" s="54">
        <f ca="1">DATEDIF(G712,TODAY(),"Y")</f>
        <v>23</v>
      </c>
      <c r="I712" s="170" t="str">
        <f>CHOOSE(MONTH(G712),"January","February","March","April","May","June","July","August","September","October","November","December")</f>
        <v>June</v>
      </c>
      <c r="J712" s="55"/>
      <c r="K712" s="56">
        <v>31224</v>
      </c>
      <c r="L712" s="169">
        <v>5</v>
      </c>
    </row>
    <row r="713" spans="1:12" x14ac:dyDescent="0.25">
      <c r="A713" s="164" t="s">
        <v>664</v>
      </c>
      <c r="B713" s="164" t="s">
        <v>930</v>
      </c>
      <c r="C713" s="174" t="s">
        <v>285</v>
      </c>
      <c r="D713" s="173">
        <v>9196354278</v>
      </c>
      <c r="E713" s="172">
        <v>458734969</v>
      </c>
      <c r="F713" s="164" t="s">
        <v>256</v>
      </c>
      <c r="G713" s="171">
        <v>40456</v>
      </c>
      <c r="H713" s="54">
        <f ca="1">DATEDIF(G713,TODAY(),"Y")</f>
        <v>6</v>
      </c>
      <c r="I713" s="170" t="str">
        <f>CHOOSE(MONTH(G713),"January","February","March","April","May","June","July","August","September","October","November","December")</f>
        <v>October</v>
      </c>
      <c r="J713" s="55" t="s">
        <v>257</v>
      </c>
      <c r="K713" s="56">
        <v>98844</v>
      </c>
      <c r="L713" s="169">
        <v>5</v>
      </c>
    </row>
    <row r="714" spans="1:12" x14ac:dyDescent="0.25">
      <c r="A714" s="164" t="s">
        <v>354</v>
      </c>
      <c r="B714" s="164" t="s">
        <v>930</v>
      </c>
      <c r="C714" s="174" t="s">
        <v>285</v>
      </c>
      <c r="D714" s="173">
        <v>2521628807</v>
      </c>
      <c r="E714" s="172">
        <v>249416723</v>
      </c>
      <c r="F714" s="164" t="s">
        <v>256</v>
      </c>
      <c r="G714" s="171">
        <v>36753</v>
      </c>
      <c r="H714" s="54">
        <f ca="1">DATEDIF(G714,TODAY(),"Y")</f>
        <v>16</v>
      </c>
      <c r="I714" s="170" t="str">
        <f>CHOOSE(MONTH(G714),"January","February","March","April","May","June","July","August","September","October","November","December")</f>
        <v>August</v>
      </c>
      <c r="J714" s="55" t="s">
        <v>262</v>
      </c>
      <c r="K714" s="56">
        <v>77364</v>
      </c>
      <c r="L714" s="169">
        <v>5</v>
      </c>
    </row>
    <row r="715" spans="1:12" x14ac:dyDescent="0.25">
      <c r="A715" s="164" t="s">
        <v>462</v>
      </c>
      <c r="B715" s="164" t="s">
        <v>930</v>
      </c>
      <c r="C715" s="174" t="s">
        <v>266</v>
      </c>
      <c r="D715" s="173">
        <v>9198986390</v>
      </c>
      <c r="E715" s="172">
        <v>120224342</v>
      </c>
      <c r="F715" s="164" t="s">
        <v>252</v>
      </c>
      <c r="G715" s="171">
        <v>37186</v>
      </c>
      <c r="H715" s="54">
        <f ca="1">DATEDIF(G715,TODAY(),"Y")</f>
        <v>15</v>
      </c>
      <c r="I715" s="170" t="str">
        <f>CHOOSE(MONTH(G715),"January","February","March","April","May","June","July","August","September","October","November","December")</f>
        <v>October</v>
      </c>
      <c r="J715" s="55"/>
      <c r="K715" s="56">
        <v>39043</v>
      </c>
      <c r="L715" s="169">
        <v>2</v>
      </c>
    </row>
    <row r="716" spans="1:12" x14ac:dyDescent="0.25">
      <c r="A716" s="164" t="s">
        <v>446</v>
      </c>
      <c r="B716" s="164" t="s">
        <v>930</v>
      </c>
      <c r="C716" s="174" t="s">
        <v>245</v>
      </c>
      <c r="D716" s="173">
        <v>2522952173</v>
      </c>
      <c r="E716" s="172">
        <v>667745362</v>
      </c>
      <c r="F716" s="164" t="s">
        <v>247</v>
      </c>
      <c r="G716" s="171">
        <v>40456</v>
      </c>
      <c r="H716" s="54">
        <f ca="1">DATEDIF(G716,TODAY(),"Y")</f>
        <v>6</v>
      </c>
      <c r="I716" s="170" t="str">
        <f>CHOOSE(MONTH(G716),"January","February","March","April","May","June","July","August","September","October","November","December")</f>
        <v>October</v>
      </c>
      <c r="J716" s="55"/>
      <c r="K716" s="56">
        <v>103248</v>
      </c>
      <c r="L716" s="169">
        <v>5</v>
      </c>
    </row>
    <row r="717" spans="1:12" x14ac:dyDescent="0.25">
      <c r="A717" s="164" t="s">
        <v>741</v>
      </c>
      <c r="B717" s="164" t="s">
        <v>930</v>
      </c>
      <c r="C717" s="174" t="s">
        <v>266</v>
      </c>
      <c r="D717" s="173">
        <v>2526412482</v>
      </c>
      <c r="E717" s="172">
        <v>626648632</v>
      </c>
      <c r="F717" s="164" t="s">
        <v>247</v>
      </c>
      <c r="G717" s="171">
        <v>38181</v>
      </c>
      <c r="H717" s="54">
        <f ca="1">DATEDIF(G717,TODAY(),"Y")</f>
        <v>12</v>
      </c>
      <c r="I717" s="170" t="str">
        <f>CHOOSE(MONTH(G717),"January","February","March","April","May","June","July","August","September","October","November","December")</f>
        <v>July</v>
      </c>
      <c r="J717" s="55"/>
      <c r="K717" s="56">
        <v>58908</v>
      </c>
      <c r="L717" s="169">
        <v>4</v>
      </c>
    </row>
    <row r="718" spans="1:12" x14ac:dyDescent="0.25">
      <c r="A718" s="164" t="s">
        <v>836</v>
      </c>
      <c r="B718" s="164" t="s">
        <v>930</v>
      </c>
      <c r="C718" s="174" t="s">
        <v>280</v>
      </c>
      <c r="D718" s="173">
        <v>2522304625</v>
      </c>
      <c r="E718" s="172">
        <v>276873359</v>
      </c>
      <c r="F718" s="164" t="s">
        <v>256</v>
      </c>
      <c r="G718" s="171">
        <v>39899</v>
      </c>
      <c r="H718" s="54">
        <f ca="1">DATEDIF(G718,TODAY(),"Y")</f>
        <v>7</v>
      </c>
      <c r="I718" s="170" t="str">
        <f>CHOOSE(MONTH(G718),"January","February","March","April","May","June","July","August","September","October","November","December")</f>
        <v>March</v>
      </c>
      <c r="J718" s="55" t="s">
        <v>267</v>
      </c>
      <c r="K718" s="56">
        <v>30828</v>
      </c>
      <c r="L718" s="169">
        <v>2</v>
      </c>
    </row>
    <row r="719" spans="1:12" x14ac:dyDescent="0.25">
      <c r="A719" s="164" t="s">
        <v>358</v>
      </c>
      <c r="B719" s="164" t="s">
        <v>930</v>
      </c>
      <c r="C719" s="174" t="s">
        <v>271</v>
      </c>
      <c r="D719" s="173">
        <v>2528444054</v>
      </c>
      <c r="E719" s="172">
        <v>750006979</v>
      </c>
      <c r="F719" s="164" t="s">
        <v>261</v>
      </c>
      <c r="G719" s="171">
        <v>34770</v>
      </c>
      <c r="H719" s="54">
        <f ca="1">DATEDIF(G719,TODAY(),"Y")</f>
        <v>21</v>
      </c>
      <c r="I719" s="170" t="str">
        <f>CHOOSE(MONTH(G719),"January","February","March","April","May","June","July","August","September","October","November","December")</f>
        <v>March</v>
      </c>
      <c r="J719" s="55" t="s">
        <v>267</v>
      </c>
      <c r="K719" s="56">
        <v>33252</v>
      </c>
      <c r="L719" s="169">
        <v>3</v>
      </c>
    </row>
    <row r="720" spans="1:12" x14ac:dyDescent="0.25">
      <c r="A720" s="164" t="s">
        <v>1011</v>
      </c>
      <c r="B720" s="164" t="s">
        <v>930</v>
      </c>
      <c r="C720" s="174" t="s">
        <v>280</v>
      </c>
      <c r="D720" s="173">
        <v>9193788281</v>
      </c>
      <c r="E720" s="172">
        <v>658842625</v>
      </c>
      <c r="F720" s="164" t="s">
        <v>261</v>
      </c>
      <c r="G720" s="171">
        <v>36781</v>
      </c>
      <c r="H720" s="54">
        <f ca="1">DATEDIF(G720,TODAY(),"Y")</f>
        <v>16</v>
      </c>
      <c r="I720" s="170" t="str">
        <f>CHOOSE(MONTH(G720),"January","February","March","April","May","June","July","August","September","October","November","December")</f>
        <v>September</v>
      </c>
      <c r="J720" s="55" t="s">
        <v>276</v>
      </c>
      <c r="K720" s="56">
        <v>55326</v>
      </c>
      <c r="L720" s="169">
        <v>5</v>
      </c>
    </row>
    <row r="721" spans="1:12" x14ac:dyDescent="0.25">
      <c r="A721" s="164" t="s">
        <v>598</v>
      </c>
      <c r="B721" s="164" t="s">
        <v>930</v>
      </c>
      <c r="C721" s="174" t="s">
        <v>285</v>
      </c>
      <c r="D721" s="173">
        <v>9195790921</v>
      </c>
      <c r="E721" s="172">
        <v>277423593</v>
      </c>
      <c r="F721" s="164" t="s">
        <v>261</v>
      </c>
      <c r="G721" s="171">
        <v>34119</v>
      </c>
      <c r="H721" s="54">
        <f ca="1">DATEDIF(G721,TODAY(),"Y")</f>
        <v>23</v>
      </c>
      <c r="I721" s="170" t="str">
        <f>CHOOSE(MONTH(G721),"January","February","March","April","May","June","July","August","September","October","November","December")</f>
        <v>May</v>
      </c>
      <c r="J721" s="55" t="s">
        <v>283</v>
      </c>
      <c r="K721" s="56">
        <v>16146</v>
      </c>
      <c r="L721" s="169">
        <v>2</v>
      </c>
    </row>
    <row r="722" spans="1:12" x14ac:dyDescent="0.25">
      <c r="A722" s="164" t="s">
        <v>919</v>
      </c>
      <c r="B722" s="164" t="s">
        <v>930</v>
      </c>
      <c r="C722" s="174" t="s">
        <v>285</v>
      </c>
      <c r="D722" s="173">
        <v>2524914916</v>
      </c>
      <c r="E722" s="172">
        <v>240241467</v>
      </c>
      <c r="F722" s="164" t="s">
        <v>252</v>
      </c>
      <c r="G722" s="171">
        <v>36304</v>
      </c>
      <c r="H722" s="54">
        <f ca="1">DATEDIF(G722,TODAY(),"Y")</f>
        <v>17</v>
      </c>
      <c r="I722" s="170" t="str">
        <f>CHOOSE(MONTH(G722),"January","February","March","April","May","June","July","August","September","October","November","December")</f>
        <v>May</v>
      </c>
      <c r="J722" s="55"/>
      <c r="K722" s="56">
        <v>34522</v>
      </c>
      <c r="L722" s="169">
        <v>3</v>
      </c>
    </row>
    <row r="723" spans="1:12" x14ac:dyDescent="0.25">
      <c r="A723" s="164" t="s">
        <v>743</v>
      </c>
      <c r="B723" s="164" t="s">
        <v>930</v>
      </c>
      <c r="C723" s="174" t="s">
        <v>251</v>
      </c>
      <c r="D723" s="173">
        <v>2521789943</v>
      </c>
      <c r="E723" s="172">
        <v>120361975</v>
      </c>
      <c r="F723" s="164" t="s">
        <v>256</v>
      </c>
      <c r="G723" s="171">
        <v>38223</v>
      </c>
      <c r="H723" s="54">
        <f ca="1">DATEDIF(G723,TODAY(),"Y")</f>
        <v>12</v>
      </c>
      <c r="I723" s="170" t="str">
        <f>CHOOSE(MONTH(G723),"January","February","March","April","May","June","July","August","September","October","November","December")</f>
        <v>August</v>
      </c>
      <c r="J723" s="55" t="s">
        <v>276</v>
      </c>
      <c r="K723" s="56">
        <v>72360</v>
      </c>
      <c r="L723" s="169">
        <v>2</v>
      </c>
    </row>
    <row r="724" spans="1:12" x14ac:dyDescent="0.25">
      <c r="A724" s="164" t="s">
        <v>361</v>
      </c>
      <c r="B724" s="164" t="s">
        <v>930</v>
      </c>
      <c r="C724" s="174" t="s">
        <v>285</v>
      </c>
      <c r="D724" s="173">
        <v>9196060038</v>
      </c>
      <c r="E724" s="172">
        <v>144722757</v>
      </c>
      <c r="F724" s="164" t="s">
        <v>247</v>
      </c>
      <c r="G724" s="171">
        <v>34290</v>
      </c>
      <c r="H724" s="54">
        <f ca="1">DATEDIF(G724,TODAY(),"Y")</f>
        <v>22</v>
      </c>
      <c r="I724" s="170" t="str">
        <f>CHOOSE(MONTH(G724),"January","February","March","April","May","June","July","August","September","October","November","December")</f>
        <v>November</v>
      </c>
      <c r="J724" s="55"/>
      <c r="K724" s="56">
        <v>69000</v>
      </c>
      <c r="L724" s="169">
        <v>1</v>
      </c>
    </row>
    <row r="725" spans="1:12" x14ac:dyDescent="0.25">
      <c r="A725" s="164" t="s">
        <v>289</v>
      </c>
      <c r="B725" s="164" t="s">
        <v>930</v>
      </c>
      <c r="C725" s="174" t="s">
        <v>285</v>
      </c>
      <c r="D725" s="173">
        <v>2522780847</v>
      </c>
      <c r="E725" s="172">
        <v>862698919</v>
      </c>
      <c r="F725" s="164" t="s">
        <v>256</v>
      </c>
      <c r="G725" s="171">
        <v>39056</v>
      </c>
      <c r="H725" s="54">
        <f ca="1">DATEDIF(G725,TODAY(),"Y")</f>
        <v>9</v>
      </c>
      <c r="I725" s="170" t="str">
        <f>CHOOSE(MONTH(G725),"January","February","March","April","May","June","July","August","September","October","November","December")</f>
        <v>December</v>
      </c>
      <c r="J725" s="55" t="s">
        <v>262</v>
      </c>
      <c r="K725" s="56">
        <v>57936</v>
      </c>
      <c r="L725" s="169">
        <v>4</v>
      </c>
    </row>
    <row r="726" spans="1:12" x14ac:dyDescent="0.25">
      <c r="A726" s="164" t="s">
        <v>463</v>
      </c>
      <c r="B726" s="164" t="s">
        <v>930</v>
      </c>
      <c r="C726" s="174" t="s">
        <v>266</v>
      </c>
      <c r="D726" s="173">
        <v>9191797370</v>
      </c>
      <c r="E726" s="172">
        <v>592709648</v>
      </c>
      <c r="F726" s="164" t="s">
        <v>247</v>
      </c>
      <c r="G726" s="171">
        <v>37793</v>
      </c>
      <c r="H726" s="54">
        <f ca="1">DATEDIF(G726,TODAY(),"Y")</f>
        <v>13</v>
      </c>
      <c r="I726" s="170" t="str">
        <f>CHOOSE(MONTH(G726),"January","February","March","April","May","June","July","August","September","October","November","December")</f>
        <v>June</v>
      </c>
      <c r="J726" s="55"/>
      <c r="K726" s="56">
        <v>92563</v>
      </c>
      <c r="L726" s="169">
        <v>5</v>
      </c>
    </row>
    <row r="727" spans="1:12" x14ac:dyDescent="0.25">
      <c r="A727" s="164" t="s">
        <v>921</v>
      </c>
      <c r="B727" s="164" t="s">
        <v>930</v>
      </c>
      <c r="C727" s="174" t="s">
        <v>285</v>
      </c>
      <c r="D727" s="173">
        <v>2526088101</v>
      </c>
      <c r="E727" s="172">
        <v>992674973</v>
      </c>
      <c r="F727" s="164" t="s">
        <v>256</v>
      </c>
      <c r="G727" s="171">
        <v>35780</v>
      </c>
      <c r="H727" s="54">
        <f ca="1">DATEDIF(G727,TODAY(),"Y")</f>
        <v>18</v>
      </c>
      <c r="I727" s="170" t="str">
        <f>CHOOSE(MONTH(G727),"January","February","March","April","May","June","July","August","September","October","November","December")</f>
        <v>December</v>
      </c>
      <c r="J727" s="55" t="s">
        <v>267</v>
      </c>
      <c r="K727" s="56">
        <v>77736</v>
      </c>
      <c r="L727" s="169">
        <v>5</v>
      </c>
    </row>
    <row r="728" spans="1:12" x14ac:dyDescent="0.25">
      <c r="A728" s="164" t="s">
        <v>746</v>
      </c>
      <c r="B728" s="164" t="s">
        <v>930</v>
      </c>
      <c r="C728" s="174" t="s">
        <v>266</v>
      </c>
      <c r="D728" s="173">
        <v>9191657646</v>
      </c>
      <c r="E728" s="172">
        <v>147683641</v>
      </c>
      <c r="F728" s="164" t="s">
        <v>247</v>
      </c>
      <c r="G728" s="171">
        <v>41062</v>
      </c>
      <c r="H728" s="54">
        <f ca="1">DATEDIF(G728,TODAY(),"Y")</f>
        <v>4</v>
      </c>
      <c r="I728" s="170" t="str">
        <f>CHOOSE(MONTH(G728),"January","February","March","April","May","June","July","August","September","October","November","December")</f>
        <v>June</v>
      </c>
      <c r="J728" s="55"/>
      <c r="K728" s="56">
        <v>56736</v>
      </c>
      <c r="L728" s="169">
        <v>1</v>
      </c>
    </row>
    <row r="729" spans="1:12" x14ac:dyDescent="0.25">
      <c r="A729" s="164" t="s">
        <v>610</v>
      </c>
      <c r="B729" s="164" t="s">
        <v>930</v>
      </c>
      <c r="C729" s="174" t="s">
        <v>285</v>
      </c>
      <c r="D729" s="173">
        <v>2523533906</v>
      </c>
      <c r="E729" s="172">
        <v>695198896</v>
      </c>
      <c r="F729" s="164" t="s">
        <v>247</v>
      </c>
      <c r="G729" s="171">
        <v>36554</v>
      </c>
      <c r="H729" s="54">
        <f ca="1">DATEDIF(G729,TODAY(),"Y")</f>
        <v>16</v>
      </c>
      <c r="I729" s="170" t="str">
        <f>CHOOSE(MONTH(G729),"January","February","March","April","May","June","July","August","September","October","November","December")</f>
        <v>January</v>
      </c>
      <c r="J729" s="55"/>
      <c r="K729" s="56">
        <v>54036</v>
      </c>
      <c r="L729" s="169">
        <v>3</v>
      </c>
    </row>
    <row r="730" spans="1:12" x14ac:dyDescent="0.25">
      <c r="A730" s="164" t="s">
        <v>676</v>
      </c>
      <c r="B730" s="164" t="s">
        <v>930</v>
      </c>
      <c r="C730" s="174" t="s">
        <v>245</v>
      </c>
      <c r="D730" s="173">
        <v>9195157707</v>
      </c>
      <c r="E730" s="172">
        <v>741258203</v>
      </c>
      <c r="F730" s="164" t="s">
        <v>247</v>
      </c>
      <c r="G730" s="171">
        <v>34517</v>
      </c>
      <c r="H730" s="54">
        <f ca="1">DATEDIF(G730,TODAY(),"Y")</f>
        <v>22</v>
      </c>
      <c r="I730" s="170" t="str">
        <f>CHOOSE(MONTH(G730),"January","February","March","April","May","June","July","August","September","October","November","December")</f>
        <v>July</v>
      </c>
      <c r="J730" s="55"/>
      <c r="K730" s="56">
        <v>70954</v>
      </c>
      <c r="L730" s="169">
        <v>4</v>
      </c>
    </row>
    <row r="731" spans="1:12" x14ac:dyDescent="0.25">
      <c r="A731" s="164" t="s">
        <v>366</v>
      </c>
      <c r="B731" s="164" t="s">
        <v>930</v>
      </c>
      <c r="C731" s="174" t="s">
        <v>280</v>
      </c>
      <c r="D731" s="173">
        <v>2527560634</v>
      </c>
      <c r="E731" s="172">
        <v>311309049</v>
      </c>
      <c r="F731" s="164" t="s">
        <v>256</v>
      </c>
      <c r="G731" s="171">
        <v>36971</v>
      </c>
      <c r="H731" s="54">
        <f ca="1">DATEDIF(G731,TODAY(),"Y")</f>
        <v>15</v>
      </c>
      <c r="I731" s="170" t="str">
        <f>CHOOSE(MONTH(G731),"January","February","March","April","May","June","July","August","September","October","November","December")</f>
        <v>March</v>
      </c>
      <c r="J731" s="55" t="s">
        <v>276</v>
      </c>
      <c r="K731" s="56">
        <v>93216</v>
      </c>
      <c r="L731" s="169">
        <v>3</v>
      </c>
    </row>
    <row r="732" spans="1:12" x14ac:dyDescent="0.25">
      <c r="A732" s="164" t="s">
        <v>452</v>
      </c>
      <c r="B732" s="164" t="s">
        <v>930</v>
      </c>
      <c r="C732" s="174" t="s">
        <v>285</v>
      </c>
      <c r="D732" s="173">
        <v>2527780776</v>
      </c>
      <c r="E732" s="172">
        <v>763182349</v>
      </c>
      <c r="F732" s="164" t="s">
        <v>247</v>
      </c>
      <c r="G732" s="171">
        <v>34854</v>
      </c>
      <c r="H732" s="54">
        <f ca="1">DATEDIF(G732,TODAY(),"Y")</f>
        <v>21</v>
      </c>
      <c r="I732" s="170" t="str">
        <f>CHOOSE(MONTH(G732),"January","February","March","April","May","June","July","August","September","October","November","December")</f>
        <v>June</v>
      </c>
      <c r="J732" s="55"/>
      <c r="K732" s="56">
        <v>90660</v>
      </c>
      <c r="L732" s="169">
        <v>3</v>
      </c>
    </row>
    <row r="733" spans="1:12" x14ac:dyDescent="0.25">
      <c r="A733" s="164" t="s">
        <v>400</v>
      </c>
      <c r="B733" s="164" t="s">
        <v>1025</v>
      </c>
      <c r="C733" s="174" t="s">
        <v>266</v>
      </c>
      <c r="D733" s="173">
        <v>2524411859</v>
      </c>
      <c r="E733" s="172">
        <v>443926890</v>
      </c>
      <c r="F733" s="164" t="s">
        <v>256</v>
      </c>
      <c r="G733" s="171">
        <v>38412</v>
      </c>
      <c r="H733" s="54">
        <f ca="1">DATEDIF(G733,TODAY(),"Y")</f>
        <v>11</v>
      </c>
      <c r="I733" s="170" t="str">
        <f>CHOOSE(MONTH(G733),"January","February","March","April","May","June","July","August","September","October","November","December")</f>
        <v>March</v>
      </c>
      <c r="J733" s="55" t="s">
        <v>283</v>
      </c>
      <c r="K733" s="56">
        <v>51360</v>
      </c>
      <c r="L733" s="169">
        <v>5</v>
      </c>
    </row>
    <row r="734" spans="1:12" x14ac:dyDescent="0.25">
      <c r="A734" s="164" t="s">
        <v>732</v>
      </c>
      <c r="B734" s="164" t="s">
        <v>1025</v>
      </c>
      <c r="C734" s="174" t="s">
        <v>245</v>
      </c>
      <c r="D734" s="173">
        <v>9193578185</v>
      </c>
      <c r="E734" s="172">
        <v>797985708</v>
      </c>
      <c r="F734" s="164" t="s">
        <v>256</v>
      </c>
      <c r="G734" s="171">
        <v>37801</v>
      </c>
      <c r="H734" s="54">
        <f ca="1">DATEDIF(G734,TODAY(),"Y")</f>
        <v>13</v>
      </c>
      <c r="I734" s="170" t="str">
        <f>CHOOSE(MONTH(G734),"January","February","March","April","May","June","July","August","September","October","November","December")</f>
        <v>June</v>
      </c>
      <c r="J734" s="55" t="s">
        <v>276</v>
      </c>
      <c r="K734" s="56">
        <v>48816</v>
      </c>
      <c r="L734" s="169">
        <v>5</v>
      </c>
    </row>
    <row r="735" spans="1:12" x14ac:dyDescent="0.25">
      <c r="A735" s="164" t="s">
        <v>302</v>
      </c>
      <c r="B735" s="164" t="s">
        <v>1025</v>
      </c>
      <c r="C735" s="174" t="s">
        <v>271</v>
      </c>
      <c r="D735" s="173">
        <v>9196690862</v>
      </c>
      <c r="E735" s="172">
        <v>510700395</v>
      </c>
      <c r="F735" s="164" t="s">
        <v>256</v>
      </c>
      <c r="G735" s="171">
        <v>37719</v>
      </c>
      <c r="H735" s="54">
        <f ca="1">DATEDIF(G735,TODAY(),"Y")</f>
        <v>13</v>
      </c>
      <c r="I735" s="170" t="str">
        <f>CHOOSE(MONTH(G735),"January","February","March","April","May","June","July","August","September","October","November","December")</f>
        <v>April</v>
      </c>
      <c r="J735" s="55" t="s">
        <v>257</v>
      </c>
      <c r="K735" s="56">
        <v>76404</v>
      </c>
      <c r="L735" s="169">
        <v>5</v>
      </c>
    </row>
    <row r="736" spans="1:12" x14ac:dyDescent="0.25">
      <c r="A736" s="164" t="s">
        <v>673</v>
      </c>
      <c r="B736" s="164" t="s">
        <v>1025</v>
      </c>
      <c r="C736" s="174" t="s">
        <v>271</v>
      </c>
      <c r="D736" s="173">
        <v>9194436681</v>
      </c>
      <c r="E736" s="172">
        <v>106099892</v>
      </c>
      <c r="F736" s="164" t="s">
        <v>247</v>
      </c>
      <c r="G736" s="171">
        <v>41447</v>
      </c>
      <c r="H736" s="54">
        <f ca="1">DATEDIF(G736,TODAY(),"Y")</f>
        <v>3</v>
      </c>
      <c r="I736" s="170" t="str">
        <f>CHOOSE(MONTH(G736),"January","February","March","April","May","June","July","August","September","October","November","December")</f>
        <v>June</v>
      </c>
      <c r="J736" s="55"/>
      <c r="K736" s="56">
        <v>79358</v>
      </c>
      <c r="L736" s="169">
        <v>4</v>
      </c>
    </row>
    <row r="737" spans="1:12" x14ac:dyDescent="0.25">
      <c r="A737" s="164" t="s">
        <v>1022</v>
      </c>
      <c r="B737" s="164" t="s">
        <v>1025</v>
      </c>
      <c r="C737" s="174" t="s">
        <v>245</v>
      </c>
      <c r="D737" s="173">
        <v>9193482736</v>
      </c>
      <c r="E737" s="172">
        <v>776823797</v>
      </c>
      <c r="F737" s="164" t="s">
        <v>247</v>
      </c>
      <c r="G737" s="171">
        <v>34115</v>
      </c>
      <c r="H737" s="54">
        <f ca="1">DATEDIF(G737,TODAY(),"Y")</f>
        <v>23</v>
      </c>
      <c r="I737" s="170" t="str">
        <f>CHOOSE(MONTH(G737),"January","February","March","April","May","June","July","August","September","October","November","December")</f>
        <v>May</v>
      </c>
      <c r="J737" s="55"/>
      <c r="K737" s="56">
        <v>102612</v>
      </c>
      <c r="L737" s="169">
        <v>4</v>
      </c>
    </row>
    <row r="738" spans="1:12" x14ac:dyDescent="0.25">
      <c r="A738" s="164" t="s">
        <v>894</v>
      </c>
      <c r="B738" s="164" t="s">
        <v>1031</v>
      </c>
      <c r="C738" s="174" t="s">
        <v>285</v>
      </c>
      <c r="D738" s="173">
        <v>2521198851</v>
      </c>
      <c r="E738" s="172">
        <v>183135788</v>
      </c>
      <c r="F738" s="164" t="s">
        <v>247</v>
      </c>
      <c r="G738" s="171">
        <v>34731</v>
      </c>
      <c r="H738" s="54">
        <f ca="1">DATEDIF(G738,TODAY(),"Y")</f>
        <v>21</v>
      </c>
      <c r="I738" s="170" t="str">
        <f>CHOOSE(MONTH(G738),"January","February","March","April","May","June","July","August","September","October","November","December")</f>
        <v>February</v>
      </c>
      <c r="J738" s="55"/>
      <c r="K738" s="56">
        <v>72912</v>
      </c>
      <c r="L738" s="169">
        <v>2</v>
      </c>
    </row>
    <row r="739" spans="1:12" x14ac:dyDescent="0.25">
      <c r="A739" s="164" t="s">
        <v>561</v>
      </c>
      <c r="B739" s="164" t="s">
        <v>1031</v>
      </c>
      <c r="C739" s="174" t="s">
        <v>266</v>
      </c>
      <c r="D739" s="173">
        <v>9194137278</v>
      </c>
      <c r="E739" s="172">
        <v>495372474</v>
      </c>
      <c r="F739" s="164" t="s">
        <v>261</v>
      </c>
      <c r="G739" s="171">
        <v>37285</v>
      </c>
      <c r="H739" s="54">
        <f ca="1">DATEDIF(G739,TODAY(),"Y")</f>
        <v>14</v>
      </c>
      <c r="I739" s="170" t="str">
        <f>CHOOSE(MONTH(G739),"January","February","March","April","May","June","July","August","September","October","November","December")</f>
        <v>January</v>
      </c>
      <c r="J739" s="55" t="s">
        <v>257</v>
      </c>
      <c r="K739" s="56">
        <v>37500</v>
      </c>
      <c r="L739" s="169">
        <v>2</v>
      </c>
    </row>
    <row r="740" spans="1:12" x14ac:dyDescent="0.25">
      <c r="A740" s="164" t="s">
        <v>405</v>
      </c>
      <c r="B740" s="164" t="s">
        <v>1031</v>
      </c>
      <c r="C740" s="174" t="s">
        <v>266</v>
      </c>
      <c r="D740" s="173">
        <v>2528873234</v>
      </c>
      <c r="E740" s="172">
        <v>827277063</v>
      </c>
      <c r="F740" s="164" t="s">
        <v>252</v>
      </c>
      <c r="G740" s="171">
        <v>41271</v>
      </c>
      <c r="H740" s="54">
        <f ca="1">DATEDIF(G740,TODAY(),"Y")</f>
        <v>3</v>
      </c>
      <c r="I740" s="170" t="str">
        <f>CHOOSE(MONTH(G740),"January","February","March","April","May","June","July","August","September","October","November","December")</f>
        <v>December</v>
      </c>
      <c r="J740" s="55"/>
      <c r="K740" s="56">
        <v>22853</v>
      </c>
      <c r="L740" s="169">
        <v>1</v>
      </c>
    </row>
    <row r="741" spans="1:12" x14ac:dyDescent="0.25">
      <c r="A741" s="164" t="s">
        <v>406</v>
      </c>
      <c r="B741" s="164" t="s">
        <v>1031</v>
      </c>
      <c r="C741" s="174" t="s">
        <v>285</v>
      </c>
      <c r="D741" s="173">
        <v>9191888279</v>
      </c>
      <c r="E741" s="172">
        <v>978092408</v>
      </c>
      <c r="F741" s="164" t="s">
        <v>247</v>
      </c>
      <c r="G741" s="171">
        <v>35253</v>
      </c>
      <c r="H741" s="54">
        <f ca="1">DATEDIF(G741,TODAY(),"Y")</f>
        <v>20</v>
      </c>
      <c r="I741" s="170" t="str">
        <f>CHOOSE(MONTH(G741),"January","February","March","April","May","June","July","August","September","October","November","December")</f>
        <v>July</v>
      </c>
      <c r="J741" s="55"/>
      <c r="K741" s="56">
        <v>77664</v>
      </c>
      <c r="L741" s="169">
        <v>5</v>
      </c>
    </row>
    <row r="742" spans="1:12" x14ac:dyDescent="0.25">
      <c r="A742" s="164" t="s">
        <v>737</v>
      </c>
      <c r="B742" s="164" t="s">
        <v>1031</v>
      </c>
      <c r="C742" s="174" t="s">
        <v>251</v>
      </c>
      <c r="D742" s="173">
        <v>2524989537</v>
      </c>
      <c r="E742" s="172">
        <v>383616821</v>
      </c>
      <c r="F742" s="164" t="s">
        <v>256</v>
      </c>
      <c r="G742" s="171">
        <v>41112</v>
      </c>
      <c r="H742" s="54">
        <f ca="1">DATEDIF(G742,TODAY(),"Y")</f>
        <v>4</v>
      </c>
      <c r="I742" s="170" t="str">
        <f>CHOOSE(MONTH(G742),"January","February","March","April","May","June","July","August","September","October","November","December")</f>
        <v>July</v>
      </c>
      <c r="J742" s="55" t="s">
        <v>257</v>
      </c>
      <c r="K742" s="56">
        <v>56016</v>
      </c>
      <c r="L742" s="169"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36"/>
  <sheetViews>
    <sheetView topLeftCell="A4" zoomScale="145" zoomScaleNormal="145" workbookViewId="0">
      <selection activeCell="B35" sqref="B35"/>
    </sheetView>
  </sheetViews>
  <sheetFormatPr defaultRowHeight="12.75" x14ac:dyDescent="0.2"/>
  <cols>
    <col min="1" max="1" width="19.5703125" style="198" bestFit="1" customWidth="1"/>
    <col min="2" max="2" width="8.85546875" style="198" customWidth="1"/>
    <col min="3" max="5" width="9" style="198" bestFit="1" customWidth="1"/>
    <col min="6" max="6" width="9.140625" style="198"/>
    <col min="7" max="7" width="9.28515625" style="198" customWidth="1"/>
    <col min="8" max="8" width="10.42578125" style="198" bestFit="1" customWidth="1"/>
    <col min="9" max="9" width="8.85546875" style="198" bestFit="1" customWidth="1"/>
    <col min="10" max="10" width="9.140625" style="198"/>
    <col min="11" max="11" width="12.7109375" style="198" bestFit="1" customWidth="1"/>
    <col min="12" max="16384" width="9.140625" style="198"/>
  </cols>
  <sheetData>
    <row r="1" spans="1:12" x14ac:dyDescent="0.2">
      <c r="A1" s="218" t="s">
        <v>1573</v>
      </c>
      <c r="B1" s="217"/>
      <c r="C1" s="217"/>
      <c r="D1" s="217"/>
      <c r="E1" s="217"/>
      <c r="F1" s="217"/>
      <c r="G1" s="217"/>
      <c r="H1" s="217"/>
      <c r="I1" s="217"/>
      <c r="J1" s="199"/>
      <c r="K1" s="216"/>
      <c r="L1" s="199"/>
    </row>
    <row r="2" spans="1:12" x14ac:dyDescent="0.2">
      <c r="A2" s="215"/>
      <c r="B2" s="214" t="s">
        <v>248</v>
      </c>
      <c r="C2" s="214" t="s">
        <v>253</v>
      </c>
      <c r="D2" s="214" t="s">
        <v>258</v>
      </c>
      <c r="E2" s="214" t="s">
        <v>263</v>
      </c>
      <c r="F2" s="214" t="s">
        <v>268</v>
      </c>
      <c r="G2" s="214" t="s">
        <v>273</v>
      </c>
      <c r="H2" s="214" t="s">
        <v>1482</v>
      </c>
      <c r="I2" s="214" t="s">
        <v>1572</v>
      </c>
      <c r="J2" s="199"/>
      <c r="K2" s="213"/>
      <c r="L2" s="199"/>
    </row>
    <row r="3" spans="1:12" x14ac:dyDescent="0.2">
      <c r="A3" s="208" t="s">
        <v>1555</v>
      </c>
      <c r="B3" s="212">
        <v>120</v>
      </c>
      <c r="C3" s="212">
        <v>180</v>
      </c>
      <c r="D3" s="212">
        <v>250</v>
      </c>
      <c r="E3" s="212">
        <v>240</v>
      </c>
      <c r="F3" s="212">
        <v>300</v>
      </c>
      <c r="G3" s="212">
        <v>450</v>
      </c>
      <c r="H3" s="212">
        <f>SUM(B3:G3)</f>
        <v>1540</v>
      </c>
      <c r="I3" s="212">
        <f>AVERAGE(B3:G3)</f>
        <v>256.66666666666669</v>
      </c>
      <c r="J3" s="199"/>
      <c r="K3" s="199"/>
      <c r="L3" s="199"/>
    </row>
    <row r="4" spans="1:12" x14ac:dyDescent="0.2">
      <c r="A4" s="208" t="s">
        <v>1571</v>
      </c>
      <c r="B4" s="209">
        <v>100</v>
      </c>
      <c r="C4" s="209">
        <v>130</v>
      </c>
      <c r="D4" s="209">
        <v>120</v>
      </c>
      <c r="E4" s="209">
        <v>220</v>
      </c>
      <c r="F4" s="209">
        <v>260</v>
      </c>
      <c r="G4" s="209">
        <v>350</v>
      </c>
      <c r="H4" s="209">
        <f>SUM(B4:G4)</f>
        <v>1180</v>
      </c>
      <c r="I4" s="209">
        <f>AVERAGE(B4:G4)</f>
        <v>196.66666666666666</v>
      </c>
      <c r="J4" s="199"/>
      <c r="K4" s="211"/>
      <c r="L4" s="199"/>
    </row>
    <row r="5" spans="1:12" x14ac:dyDescent="0.2">
      <c r="A5" s="208" t="s">
        <v>1570</v>
      </c>
      <c r="B5" s="209">
        <f>B3-B4</f>
        <v>20</v>
      </c>
      <c r="C5" s="209">
        <f>C3-C4</f>
        <v>50</v>
      </c>
      <c r="D5" s="209">
        <f>D3-D4</f>
        <v>130</v>
      </c>
      <c r="E5" s="209">
        <f>E3-E4</f>
        <v>20</v>
      </c>
      <c r="F5" s="209">
        <f>F3-F4</f>
        <v>40</v>
      </c>
      <c r="G5" s="209">
        <f>G3-G4</f>
        <v>100</v>
      </c>
      <c r="H5" s="209">
        <f>SUM(B5:G5)</f>
        <v>360</v>
      </c>
      <c r="I5" s="209">
        <f>AVERAGE(B5:G5)</f>
        <v>60</v>
      </c>
      <c r="J5" s="199"/>
      <c r="K5" s="210"/>
      <c r="L5" s="199"/>
    </row>
    <row r="6" spans="1:12" x14ac:dyDescent="0.2">
      <c r="A6" s="208" t="s">
        <v>1569</v>
      </c>
      <c r="B6" s="209">
        <f>B5</f>
        <v>20</v>
      </c>
      <c r="C6" s="209">
        <f>C5+B6</f>
        <v>70</v>
      </c>
      <c r="D6" s="209">
        <f>D5+C6</f>
        <v>200</v>
      </c>
      <c r="E6" s="209">
        <f>E5+D6</f>
        <v>220</v>
      </c>
      <c r="F6" s="209">
        <f>F5+E6</f>
        <v>260</v>
      </c>
      <c r="G6" s="209">
        <f>G5+F6</f>
        <v>360</v>
      </c>
      <c r="H6" s="209"/>
      <c r="I6" s="209"/>
      <c r="J6" s="199"/>
      <c r="K6" s="199"/>
      <c r="L6" s="199"/>
    </row>
    <row r="7" spans="1:12" ht="20.25" customHeight="1" x14ac:dyDescent="0.2">
      <c r="A7" s="208" t="s">
        <v>1568</v>
      </c>
      <c r="B7" s="207"/>
      <c r="C7" s="207"/>
      <c r="D7" s="207"/>
      <c r="E7" s="207"/>
      <c r="F7" s="207"/>
      <c r="G7" s="207"/>
      <c r="H7" s="206"/>
      <c r="I7" s="206"/>
      <c r="J7" s="199"/>
      <c r="K7" s="199"/>
      <c r="L7" s="199"/>
    </row>
    <row r="8" spans="1:12" x14ac:dyDescent="0.2">
      <c r="A8" s="201" t="s">
        <v>1567</v>
      </c>
      <c r="B8" s="199"/>
      <c r="C8" s="205">
        <f>(C3-B3)/B3</f>
        <v>0.5</v>
      </c>
      <c r="D8" s="205">
        <f>(D3-C3)/C3</f>
        <v>0.3888888888888889</v>
      </c>
      <c r="E8" s="205">
        <f>(E3-D3)/D3</f>
        <v>-0.04</v>
      </c>
      <c r="F8" s="205">
        <f>(F3-E3)/E3</f>
        <v>0.25</v>
      </c>
      <c r="G8" s="205">
        <f>(G3-F3)/F3</f>
        <v>0.5</v>
      </c>
      <c r="H8" s="205">
        <f>(G3-B3)/B3</f>
        <v>2.75</v>
      </c>
      <c r="I8" s="204">
        <f>(G3/B3)^(1/5)-1</f>
        <v>0.30258554234867607</v>
      </c>
      <c r="J8" s="199"/>
      <c r="K8" s="199"/>
      <c r="L8" s="199"/>
    </row>
    <row r="9" spans="1:12" x14ac:dyDescent="0.2">
      <c r="A9" s="201" t="s">
        <v>1566</v>
      </c>
      <c r="B9" s="199"/>
      <c r="C9" s="205">
        <f>(C5-B5)/B5</f>
        <v>1.5</v>
      </c>
      <c r="D9" s="205">
        <f>(D5-C5)/C5</f>
        <v>1.6</v>
      </c>
      <c r="E9" s="205">
        <f>(E5-D5)/D5</f>
        <v>-0.84615384615384615</v>
      </c>
      <c r="F9" s="205">
        <f>(F5-E5)/E5</f>
        <v>1</v>
      </c>
      <c r="G9" s="205">
        <f>(G5-F5)/F5</f>
        <v>1.5</v>
      </c>
      <c r="H9" s="205">
        <f>(G5-B5)/B5</f>
        <v>4</v>
      </c>
      <c r="I9" s="204">
        <f>(G5/B5)^(1/5)-1</f>
        <v>0.3797296614612149</v>
      </c>
      <c r="J9" s="199"/>
      <c r="K9" s="199"/>
      <c r="L9" s="199"/>
    </row>
    <row r="10" spans="1:12" x14ac:dyDescent="0.2">
      <c r="A10" s="201" t="s">
        <v>1565</v>
      </c>
      <c r="B10" s="199"/>
      <c r="C10" s="205">
        <f>(C4-B4)/B4</f>
        <v>0.3</v>
      </c>
      <c r="D10" s="205">
        <f>(D4-C4)/C4</f>
        <v>-7.6923076923076927E-2</v>
      </c>
      <c r="E10" s="205">
        <f>(E4-D4)/D4</f>
        <v>0.83333333333333337</v>
      </c>
      <c r="F10" s="205">
        <f>(F4-E4)/E4</f>
        <v>0.18181818181818182</v>
      </c>
      <c r="G10" s="205">
        <f>(G4-F4)/F4</f>
        <v>0.34615384615384615</v>
      </c>
      <c r="H10" s="205">
        <f>(G4-B4)/B4</f>
        <v>2.5</v>
      </c>
      <c r="I10" s="204">
        <f>(G4/B4)^(1/5)-1</f>
        <v>0.28473515712343933</v>
      </c>
      <c r="J10" s="199"/>
      <c r="K10" s="199"/>
      <c r="L10" s="199"/>
    </row>
    <row r="11" spans="1:12" x14ac:dyDescent="0.2">
      <c r="B11" s="199"/>
      <c r="C11" s="199"/>
      <c r="D11" s="199"/>
      <c r="E11" s="199"/>
      <c r="F11" s="199"/>
      <c r="G11" s="199"/>
      <c r="H11" s="199"/>
      <c r="I11" s="199"/>
      <c r="J11" s="199"/>
      <c r="K11" s="199"/>
      <c r="L11" s="199"/>
    </row>
    <row r="12" spans="1:12" x14ac:dyDescent="0.2">
      <c r="A12" s="201"/>
      <c r="B12" s="200"/>
      <c r="C12" s="200"/>
      <c r="D12" s="200"/>
      <c r="E12" s="200"/>
      <c r="F12" s="200"/>
      <c r="G12" s="200"/>
      <c r="H12" s="200"/>
      <c r="I12" s="199"/>
      <c r="J12" s="199"/>
      <c r="K12" s="199"/>
      <c r="L12" s="199"/>
    </row>
    <row r="13" spans="1:12" x14ac:dyDescent="0.2">
      <c r="A13" s="201"/>
      <c r="B13" s="200"/>
      <c r="C13" s="200"/>
      <c r="D13" s="200"/>
      <c r="E13" s="200"/>
      <c r="F13" s="200"/>
      <c r="G13" s="200"/>
      <c r="H13" s="200"/>
      <c r="I13" s="199"/>
      <c r="J13" s="199"/>
      <c r="K13" s="199"/>
      <c r="L13" s="199"/>
    </row>
    <row r="14" spans="1:12" x14ac:dyDescent="0.2">
      <c r="B14" s="200"/>
      <c r="C14" s="200"/>
      <c r="D14" s="200"/>
      <c r="E14" s="200"/>
      <c r="F14" s="200"/>
      <c r="G14" s="200"/>
      <c r="H14" s="200"/>
      <c r="I14" s="199"/>
      <c r="J14" s="199"/>
      <c r="K14" s="199"/>
      <c r="L14" s="199"/>
    </row>
    <row r="15" spans="1:12" x14ac:dyDescent="0.2">
      <c r="B15" s="200"/>
      <c r="C15" s="200"/>
      <c r="D15" s="200"/>
      <c r="E15" s="200"/>
      <c r="F15" s="200"/>
      <c r="G15" s="200"/>
      <c r="H15" s="200"/>
      <c r="I15" s="199"/>
      <c r="J15" s="199"/>
      <c r="K15" s="199"/>
      <c r="L15" s="199"/>
    </row>
    <row r="16" spans="1:12" x14ac:dyDescent="0.2">
      <c r="A16" s="201"/>
      <c r="B16" s="200"/>
      <c r="C16" s="200"/>
      <c r="D16" s="200"/>
      <c r="E16" s="200"/>
      <c r="F16" s="200"/>
      <c r="G16" s="200"/>
      <c r="H16" s="200"/>
      <c r="I16" s="199"/>
      <c r="J16" s="199"/>
      <c r="K16" s="199"/>
      <c r="L16" s="199"/>
    </row>
    <row r="17" spans="1:12" x14ac:dyDescent="0.2">
      <c r="A17" s="201"/>
      <c r="B17" s="200"/>
      <c r="C17" s="200"/>
      <c r="D17" s="200"/>
      <c r="E17" s="200"/>
      <c r="F17" s="200"/>
      <c r="G17" s="200"/>
      <c r="H17" s="200"/>
      <c r="I17" s="199"/>
      <c r="J17" s="199"/>
      <c r="K17" s="199"/>
      <c r="L17" s="199"/>
    </row>
    <row r="18" spans="1:12" ht="18" x14ac:dyDescent="0.25">
      <c r="A18" s="203"/>
      <c r="B18" s="200"/>
      <c r="C18" s="200"/>
      <c r="D18" s="200"/>
      <c r="E18" s="200"/>
      <c r="F18" s="200"/>
      <c r="G18" s="200"/>
      <c r="H18" s="200"/>
      <c r="I18" s="199"/>
      <c r="J18" s="199"/>
      <c r="K18" s="199"/>
      <c r="L18" s="199"/>
    </row>
    <row r="19" spans="1:12" ht="18.75" x14ac:dyDescent="0.3">
      <c r="A19" s="202"/>
      <c r="B19" s="200"/>
      <c r="C19" s="200"/>
      <c r="D19" s="200"/>
      <c r="E19" s="200"/>
      <c r="F19" s="200"/>
      <c r="G19" s="200"/>
      <c r="H19" s="200"/>
      <c r="I19" s="199"/>
      <c r="J19" s="199"/>
      <c r="K19" s="199"/>
      <c r="L19" s="199"/>
    </row>
    <row r="20" spans="1:12" x14ac:dyDescent="0.2">
      <c r="A20" s="201"/>
      <c r="B20" s="200"/>
      <c r="C20" s="200"/>
      <c r="D20" s="200"/>
      <c r="E20" s="200"/>
      <c r="F20" s="200"/>
      <c r="G20" s="200"/>
      <c r="H20" s="200"/>
      <c r="I20" s="199"/>
      <c r="J20" s="199"/>
      <c r="K20" s="199"/>
      <c r="L20" s="199"/>
    </row>
    <row r="21" spans="1:12" x14ac:dyDescent="0.2">
      <c r="A21" s="201"/>
      <c r="B21" s="200"/>
      <c r="C21" s="200"/>
      <c r="D21" s="200"/>
      <c r="E21" s="200"/>
      <c r="F21" s="200"/>
      <c r="G21" s="200"/>
      <c r="H21" s="200"/>
      <c r="I21" s="199"/>
      <c r="J21" s="199"/>
      <c r="K21" s="199"/>
      <c r="L21" s="199"/>
    </row>
    <row r="22" spans="1:12" x14ac:dyDescent="0.2">
      <c r="A22" s="201"/>
      <c r="B22" s="200"/>
      <c r="C22" s="200"/>
      <c r="D22" s="200"/>
      <c r="E22" s="200"/>
      <c r="F22" s="200"/>
      <c r="G22" s="200"/>
      <c r="H22" s="200"/>
      <c r="I22" s="199"/>
      <c r="J22" s="199"/>
      <c r="K22" s="199"/>
      <c r="L22" s="199"/>
    </row>
    <row r="23" spans="1:12" x14ac:dyDescent="0.2">
      <c r="A23" s="201"/>
      <c r="B23" s="200"/>
      <c r="C23" s="200"/>
      <c r="D23" s="200"/>
      <c r="E23" s="200"/>
      <c r="F23" s="200"/>
      <c r="G23" s="200"/>
      <c r="H23" s="200"/>
      <c r="I23" s="199"/>
      <c r="J23" s="199"/>
      <c r="K23" s="199"/>
      <c r="L23" s="199"/>
    </row>
    <row r="24" spans="1:12" x14ac:dyDescent="0.2">
      <c r="A24" s="201"/>
      <c r="B24" s="200"/>
      <c r="C24" s="200"/>
      <c r="D24" s="200"/>
      <c r="E24" s="200"/>
      <c r="F24" s="200"/>
      <c r="G24" s="200"/>
      <c r="H24" s="200"/>
      <c r="I24" s="199"/>
      <c r="J24" s="199"/>
      <c r="K24" s="199"/>
      <c r="L24" s="199"/>
    </row>
    <row r="25" spans="1:12" x14ac:dyDescent="0.2">
      <c r="A25" s="201"/>
      <c r="B25" s="200"/>
      <c r="C25" s="200"/>
      <c r="D25" s="200"/>
      <c r="E25" s="200"/>
      <c r="F25" s="200"/>
      <c r="G25" s="200"/>
      <c r="H25" s="200"/>
      <c r="I25" s="199"/>
      <c r="J25" s="199"/>
      <c r="K25" s="199"/>
      <c r="L25" s="199"/>
    </row>
    <row r="26" spans="1:12" x14ac:dyDescent="0.2">
      <c r="A26" s="201"/>
      <c r="B26" s="200"/>
      <c r="C26" s="200"/>
      <c r="D26" s="200"/>
      <c r="E26" s="200"/>
      <c r="F26" s="200"/>
      <c r="G26" s="200"/>
      <c r="H26" s="200"/>
      <c r="I26" s="199"/>
      <c r="J26" s="199"/>
      <c r="K26" s="199"/>
      <c r="L26" s="199"/>
    </row>
    <row r="27" spans="1:12" x14ac:dyDescent="0.2">
      <c r="A27" s="201"/>
      <c r="B27" s="200"/>
      <c r="C27" s="200"/>
      <c r="D27" s="200"/>
      <c r="E27" s="200"/>
      <c r="F27" s="200"/>
      <c r="G27" s="200"/>
      <c r="H27" s="200"/>
      <c r="I27" s="199"/>
      <c r="J27" s="199"/>
      <c r="K27" s="199"/>
      <c r="L27" s="199"/>
    </row>
    <row r="28" spans="1:12" x14ac:dyDescent="0.2">
      <c r="A28" s="201"/>
      <c r="B28" s="200"/>
      <c r="C28" s="200"/>
      <c r="D28" s="200"/>
      <c r="E28" s="200"/>
      <c r="F28" s="200"/>
      <c r="G28" s="200"/>
      <c r="H28" s="200"/>
      <c r="I28" s="199"/>
      <c r="J28" s="199"/>
      <c r="K28" s="199"/>
      <c r="L28" s="199"/>
    </row>
    <row r="29" spans="1:12" x14ac:dyDescent="0.2">
      <c r="A29" s="201"/>
      <c r="B29" s="200"/>
      <c r="C29" s="200"/>
      <c r="D29" s="200"/>
      <c r="E29" s="200"/>
      <c r="F29" s="200"/>
      <c r="G29" s="200"/>
      <c r="H29" s="200"/>
      <c r="I29" s="199"/>
      <c r="J29" s="199"/>
      <c r="K29" s="199"/>
      <c r="L29" s="199"/>
    </row>
    <row r="30" spans="1:12" x14ac:dyDescent="0.2">
      <c r="A30" s="201"/>
      <c r="B30" s="200"/>
      <c r="C30" s="200"/>
      <c r="D30" s="200"/>
      <c r="E30" s="200"/>
      <c r="F30" s="200"/>
      <c r="G30" s="200"/>
      <c r="H30" s="200"/>
      <c r="I30" s="199"/>
      <c r="J30" s="199"/>
      <c r="K30" s="199"/>
      <c r="L30" s="199"/>
    </row>
    <row r="35" spans="1:1" x14ac:dyDescent="0.2">
      <c r="A35" s="198" t="s">
        <v>1564</v>
      </c>
    </row>
    <row r="36" spans="1:1" x14ac:dyDescent="0.2">
      <c r="A36" s="198" t="s">
        <v>1563</v>
      </c>
    </row>
  </sheetData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0"/>
  <sheetViews>
    <sheetView zoomScale="160" zoomScaleNormal="160" workbookViewId="0">
      <selection activeCell="B35" sqref="B35"/>
    </sheetView>
  </sheetViews>
  <sheetFormatPr defaultRowHeight="15" x14ac:dyDescent="0.25"/>
  <cols>
    <col min="1" max="1" width="15.140625" style="187" bestFit="1" customWidth="1"/>
    <col min="2" max="2" width="12.42578125" style="187" bestFit="1" customWidth="1"/>
    <col min="3" max="9" width="12.140625" style="187" customWidth="1"/>
    <col min="10" max="10" width="9.140625" style="187"/>
    <col min="11" max="11" width="13.5703125" style="187" bestFit="1" customWidth="1"/>
    <col min="12" max="12" width="8.28515625" style="187" bestFit="1" customWidth="1"/>
    <col min="13" max="13" width="11.7109375" style="187" bestFit="1" customWidth="1"/>
    <col min="14" max="14" width="12.7109375" style="187" customWidth="1"/>
    <col min="15" max="16384" width="9.140625" style="187"/>
  </cols>
  <sheetData>
    <row r="1" spans="1:14" x14ac:dyDescent="0.25">
      <c r="A1" s="193" t="s">
        <v>1076</v>
      </c>
      <c r="B1" s="192" t="s">
        <v>1561</v>
      </c>
      <c r="C1" s="192" t="s">
        <v>1560</v>
      </c>
      <c r="D1" s="192" t="s">
        <v>1011</v>
      </c>
      <c r="E1" s="192" t="s">
        <v>1559</v>
      </c>
      <c r="F1" s="192" t="s">
        <v>1558</v>
      </c>
      <c r="G1" s="192" t="s">
        <v>1557</v>
      </c>
      <c r="H1" s="192"/>
      <c r="I1" s="192"/>
      <c r="K1" s="196"/>
      <c r="L1" s="197" t="s">
        <v>1543</v>
      </c>
      <c r="M1" s="196"/>
      <c r="N1" s="195"/>
    </row>
    <row r="2" spans="1:14" x14ac:dyDescent="0.25">
      <c r="A2" s="193" t="s">
        <v>230</v>
      </c>
      <c r="B2" s="194" t="s">
        <v>271</v>
      </c>
      <c r="C2" s="194" t="s">
        <v>266</v>
      </c>
      <c r="D2" s="194" t="s">
        <v>271</v>
      </c>
      <c r="E2" s="194" t="s">
        <v>285</v>
      </c>
      <c r="F2" s="194" t="s">
        <v>285</v>
      </c>
      <c r="G2" s="194" t="s">
        <v>266</v>
      </c>
      <c r="H2" s="194"/>
      <c r="I2" s="194"/>
      <c r="K2" s="189"/>
      <c r="L2" s="125" t="s">
        <v>1527</v>
      </c>
      <c r="M2" s="189"/>
      <c r="N2" s="188"/>
    </row>
    <row r="3" spans="1:14" x14ac:dyDescent="0.25">
      <c r="A3" s="193" t="s">
        <v>231</v>
      </c>
      <c r="B3" s="192" t="s">
        <v>417</v>
      </c>
      <c r="C3" s="192" t="s">
        <v>1555</v>
      </c>
      <c r="D3" s="192" t="s">
        <v>626</v>
      </c>
      <c r="E3" s="192" t="s">
        <v>1556</v>
      </c>
      <c r="F3" s="192" t="s">
        <v>1555</v>
      </c>
      <c r="G3" s="192" t="s">
        <v>246</v>
      </c>
      <c r="H3" s="192"/>
      <c r="I3" s="192"/>
      <c r="K3" s="189"/>
      <c r="L3" s="125" t="s">
        <v>1554</v>
      </c>
      <c r="M3" s="189"/>
      <c r="N3" s="188"/>
    </row>
    <row r="4" spans="1:14" x14ac:dyDescent="0.25">
      <c r="A4" s="191" t="s">
        <v>232</v>
      </c>
      <c r="B4" s="190">
        <v>930314379</v>
      </c>
      <c r="C4" s="190">
        <v>920265140</v>
      </c>
      <c r="D4" s="190">
        <v>736688620</v>
      </c>
      <c r="E4" s="190">
        <v>219740602</v>
      </c>
      <c r="F4" s="190">
        <v>249416723</v>
      </c>
      <c r="G4" s="190">
        <v>991656720</v>
      </c>
      <c r="H4" s="190"/>
      <c r="I4" s="190"/>
      <c r="K4" s="189"/>
      <c r="L4" s="125" t="s">
        <v>1553</v>
      </c>
      <c r="M4" s="189"/>
      <c r="N4" s="188"/>
    </row>
    <row r="5" spans="1:14" x14ac:dyDescent="0.25">
      <c r="K5" s="189"/>
      <c r="L5" s="125" t="s">
        <v>1521</v>
      </c>
      <c r="M5" s="189"/>
      <c r="N5" s="188"/>
    </row>
    <row r="6" spans="1:14" x14ac:dyDescent="0.25">
      <c r="K6" s="189"/>
      <c r="L6" s="125" t="s">
        <v>1552</v>
      </c>
      <c r="M6" s="189"/>
      <c r="N6" s="188"/>
    </row>
    <row r="7" spans="1:14" x14ac:dyDescent="0.25">
      <c r="K7" s="189"/>
      <c r="L7" s="125" t="s">
        <v>1551</v>
      </c>
      <c r="M7" s="189"/>
      <c r="N7" s="188"/>
    </row>
    <row r="8" spans="1:14" x14ac:dyDescent="0.25">
      <c r="L8" s="125" t="s">
        <v>1526</v>
      </c>
    </row>
    <row r="9" spans="1:14" x14ac:dyDescent="0.25">
      <c r="L9" s="125" t="s">
        <v>1516</v>
      </c>
    </row>
    <row r="10" spans="1:14" x14ac:dyDescent="0.25">
      <c r="L10" s="125" t="s">
        <v>1550</v>
      </c>
    </row>
    <row r="11" spans="1:14" x14ac:dyDescent="0.25">
      <c r="L11" s="125" t="s">
        <v>1549</v>
      </c>
    </row>
    <row r="19" spans="2:13" x14ac:dyDescent="0.25"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</row>
    <row r="20" spans="2:13" x14ac:dyDescent="0.25"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765"/>
  <sheetViews>
    <sheetView topLeftCell="A19" zoomScale="115" zoomScaleNormal="115" workbookViewId="0">
      <selection activeCell="B35" sqref="B35"/>
    </sheetView>
  </sheetViews>
  <sheetFormatPr defaultRowHeight="15" x14ac:dyDescent="0.25"/>
  <cols>
    <col min="1" max="1" width="19.5703125" style="222" bestFit="1" customWidth="1"/>
    <col min="2" max="2" width="8.28515625" style="125" bestFit="1" customWidth="1"/>
    <col min="3" max="3" width="27.28515625" style="125" bestFit="1" customWidth="1"/>
    <col min="4" max="4" width="9.7109375" style="125" bestFit="1" customWidth="1"/>
    <col min="5" max="5" width="9.28515625" style="221" bestFit="1" customWidth="1"/>
    <col min="6" max="6" width="10.85546875" style="125" bestFit="1" customWidth="1"/>
    <col min="7" max="7" width="5.85546875" style="125" bestFit="1" customWidth="1"/>
    <col min="8" max="8" width="8.42578125" style="125" bestFit="1" customWidth="1"/>
    <col min="9" max="9" width="8.42578125" style="220" bestFit="1" customWidth="1"/>
    <col min="10" max="10" width="10" style="219" bestFit="1" customWidth="1"/>
    <col min="11" max="16384" width="9.140625" style="125"/>
  </cols>
  <sheetData>
    <row r="1" spans="1:10" x14ac:dyDescent="0.25">
      <c r="A1" s="233" t="s">
        <v>229</v>
      </c>
      <c r="B1" s="231" t="s">
        <v>230</v>
      </c>
      <c r="C1" s="231" t="s">
        <v>231</v>
      </c>
      <c r="D1" s="231" t="s">
        <v>234</v>
      </c>
      <c r="E1" s="232" t="s">
        <v>235</v>
      </c>
      <c r="F1" s="231" t="s">
        <v>236</v>
      </c>
      <c r="G1" s="231" t="s">
        <v>237</v>
      </c>
      <c r="H1" s="231" t="s">
        <v>238</v>
      </c>
      <c r="I1" s="230" t="s">
        <v>239</v>
      </c>
      <c r="J1" s="229" t="s">
        <v>240</v>
      </c>
    </row>
    <row r="2" spans="1:10" x14ac:dyDescent="0.25">
      <c r="A2" s="228" t="s">
        <v>246</v>
      </c>
      <c r="B2" s="226"/>
      <c r="C2" s="226"/>
      <c r="D2" s="226"/>
      <c r="E2" s="227"/>
      <c r="F2" s="226"/>
      <c r="G2" s="226"/>
      <c r="H2" s="226"/>
      <c r="I2" s="225"/>
      <c r="J2" s="224"/>
    </row>
    <row r="3" spans="1:10" x14ac:dyDescent="0.25">
      <c r="A3" s="222" t="s">
        <v>863</v>
      </c>
      <c r="B3" s="125" t="s">
        <v>251</v>
      </c>
      <c r="C3" s="125" t="s">
        <v>246</v>
      </c>
      <c r="D3" s="125" t="s">
        <v>252</v>
      </c>
      <c r="E3" s="221">
        <v>33846</v>
      </c>
      <c r="F3" s="125" t="str">
        <f>CHOOSE(MONTH(E3),"January","February","March","April","May","June","July","August","September","October","November","December")</f>
        <v>August</v>
      </c>
      <c r="G3" s="125">
        <f ca="1">DATEDIF(E3,TODAY(),"Y")</f>
        <v>24</v>
      </c>
      <c r="I3" s="220">
        <v>35680</v>
      </c>
      <c r="J3" s="219">
        <v>2</v>
      </c>
    </row>
    <row r="4" spans="1:10" x14ac:dyDescent="0.25">
      <c r="A4" s="222" t="s">
        <v>357</v>
      </c>
      <c r="B4" s="125" t="s">
        <v>245</v>
      </c>
      <c r="C4" s="125" t="s">
        <v>246</v>
      </c>
      <c r="D4" s="125" t="s">
        <v>261</v>
      </c>
      <c r="E4" s="221">
        <v>33290</v>
      </c>
      <c r="F4" s="125" t="str">
        <f>CHOOSE(MONTH(E4),"January","February","March","April","May","June","July","August","September","October","November","December")</f>
        <v>February</v>
      </c>
      <c r="G4" s="125">
        <f ca="1">DATEDIF(E4,TODAY(),"Y")</f>
        <v>25</v>
      </c>
      <c r="H4" s="125" t="s">
        <v>262</v>
      </c>
      <c r="I4" s="220">
        <v>26795</v>
      </c>
      <c r="J4" s="219">
        <v>4</v>
      </c>
    </row>
    <row r="5" spans="1:10" x14ac:dyDescent="0.25">
      <c r="A5" s="222" t="s">
        <v>740</v>
      </c>
      <c r="B5" s="125" t="s">
        <v>266</v>
      </c>
      <c r="C5" s="125" t="s">
        <v>246</v>
      </c>
      <c r="D5" s="125" t="s">
        <v>256</v>
      </c>
      <c r="E5" s="221">
        <v>39447</v>
      </c>
      <c r="F5" s="125" t="str">
        <f>CHOOSE(MONTH(E5),"January","February","March","April","May","June","July","August","September","October","November","December")</f>
        <v>December</v>
      </c>
      <c r="G5" s="125">
        <f ca="1">DATEDIF(E5,TODAY(),"Y")</f>
        <v>8</v>
      </c>
      <c r="H5" s="125" t="s">
        <v>267</v>
      </c>
      <c r="I5" s="220">
        <v>72830</v>
      </c>
      <c r="J5" s="219">
        <v>2</v>
      </c>
    </row>
    <row r="6" spans="1:10" x14ac:dyDescent="0.25">
      <c r="A6" s="222" t="s">
        <v>790</v>
      </c>
      <c r="B6" s="125" t="s">
        <v>245</v>
      </c>
      <c r="C6" s="125" t="s">
        <v>246</v>
      </c>
      <c r="D6" s="125" t="s">
        <v>247</v>
      </c>
      <c r="E6" s="221">
        <v>39147</v>
      </c>
      <c r="F6" s="125" t="str">
        <f>CHOOSE(MONTH(E6),"January","February","March","April","May","June","July","August","September","October","November","December")</f>
        <v>March</v>
      </c>
      <c r="G6" s="125">
        <f ca="1">DATEDIF(E6,TODAY(),"Y")</f>
        <v>9</v>
      </c>
      <c r="I6" s="220">
        <v>42540</v>
      </c>
      <c r="J6" s="219">
        <v>5</v>
      </c>
    </row>
    <row r="7" spans="1:10" x14ac:dyDescent="0.25">
      <c r="A7" s="222" t="s">
        <v>951</v>
      </c>
      <c r="B7" s="125" t="s">
        <v>245</v>
      </c>
      <c r="C7" s="125" t="s">
        <v>246</v>
      </c>
      <c r="D7" s="125" t="s">
        <v>256</v>
      </c>
      <c r="E7" s="221">
        <v>36171</v>
      </c>
      <c r="F7" s="125" t="str">
        <f>CHOOSE(MONTH(E7),"January","February","March","April","May","June","July","August","September","October","November","December")</f>
        <v>January</v>
      </c>
      <c r="G7" s="125">
        <f ca="1">DATEDIF(E7,TODAY(),"Y")</f>
        <v>17</v>
      </c>
      <c r="H7" s="125" t="s">
        <v>257</v>
      </c>
      <c r="I7" s="220">
        <v>24550</v>
      </c>
      <c r="J7" s="219">
        <v>1</v>
      </c>
    </row>
    <row r="8" spans="1:10" x14ac:dyDescent="0.25">
      <c r="A8" s="223" t="s">
        <v>272</v>
      </c>
    </row>
    <row r="9" spans="1:10" x14ac:dyDescent="0.25">
      <c r="A9" s="222" t="s">
        <v>946</v>
      </c>
      <c r="B9" s="125" t="s">
        <v>280</v>
      </c>
      <c r="C9" s="125" t="s">
        <v>272</v>
      </c>
      <c r="D9" s="125" t="s">
        <v>256</v>
      </c>
      <c r="E9" s="221">
        <v>35742</v>
      </c>
      <c r="F9" s="125" t="str">
        <f>CHOOSE(MONTH(E9),"January","February","March","April","May","June","July","August","September","October","November","December")</f>
        <v>November</v>
      </c>
      <c r="G9" s="125">
        <f ca="1">DATEDIF(E9,TODAY(),"Y")</f>
        <v>19</v>
      </c>
      <c r="H9" s="125" t="s">
        <v>283</v>
      </c>
      <c r="I9" s="220">
        <v>85300</v>
      </c>
      <c r="J9" s="219">
        <v>2</v>
      </c>
    </row>
    <row r="10" spans="1:10" x14ac:dyDescent="0.25">
      <c r="A10" s="222" t="s">
        <v>552</v>
      </c>
      <c r="B10" s="125" t="s">
        <v>271</v>
      </c>
      <c r="C10" s="125" t="s">
        <v>272</v>
      </c>
      <c r="D10" s="125" t="s">
        <v>261</v>
      </c>
      <c r="E10" s="221">
        <v>33474</v>
      </c>
      <c r="F10" s="125" t="str">
        <f>CHOOSE(MONTH(E10),"January","February","March","April","May","June","July","August","September","October","November","December")</f>
        <v>August</v>
      </c>
      <c r="G10" s="125">
        <f ca="1">DATEDIF(E10,TODAY(),"Y")</f>
        <v>25</v>
      </c>
      <c r="H10" s="125" t="s">
        <v>262</v>
      </c>
      <c r="I10" s="220">
        <v>30445</v>
      </c>
      <c r="J10" s="219">
        <v>1</v>
      </c>
    </row>
    <row r="11" spans="1:10" x14ac:dyDescent="0.25">
      <c r="A11" s="222" t="s">
        <v>717</v>
      </c>
      <c r="B11" s="125" t="s">
        <v>285</v>
      </c>
      <c r="C11" s="125" t="s">
        <v>272</v>
      </c>
      <c r="D11" s="125" t="s">
        <v>256</v>
      </c>
      <c r="E11" s="221">
        <v>33831</v>
      </c>
      <c r="F11" s="125" t="str">
        <f>CHOOSE(MONTH(E11),"January","February","March","April","May","June","July","August","September","October","November","December")</f>
        <v>August</v>
      </c>
      <c r="G11" s="125">
        <f ca="1">DATEDIF(E11,TODAY(),"Y")</f>
        <v>24</v>
      </c>
      <c r="H11" s="125" t="s">
        <v>257</v>
      </c>
      <c r="I11" s="220">
        <v>79760</v>
      </c>
      <c r="J11" s="219">
        <v>5</v>
      </c>
    </row>
    <row r="12" spans="1:10" x14ac:dyDescent="0.25">
      <c r="A12" s="222" t="s">
        <v>766</v>
      </c>
      <c r="B12" s="125" t="s">
        <v>245</v>
      </c>
      <c r="C12" s="125" t="s">
        <v>272</v>
      </c>
      <c r="D12" s="125" t="s">
        <v>252</v>
      </c>
      <c r="E12" s="221">
        <v>40126</v>
      </c>
      <c r="F12" s="125" t="str">
        <f>CHOOSE(MONTH(E12),"January","February","March","April","May","June","July","August","September","October","November","December")</f>
        <v>November</v>
      </c>
      <c r="G12" s="125">
        <f ca="1">DATEDIF(E12,TODAY(),"Y")</f>
        <v>7</v>
      </c>
      <c r="I12" s="220">
        <v>10636</v>
      </c>
      <c r="J12" s="219">
        <v>4</v>
      </c>
    </row>
    <row r="13" spans="1:10" x14ac:dyDescent="0.25">
      <c r="A13" s="222" t="s">
        <v>707</v>
      </c>
      <c r="B13" s="125" t="s">
        <v>245</v>
      </c>
      <c r="C13" s="125" t="s">
        <v>272</v>
      </c>
      <c r="D13" s="125" t="s">
        <v>247</v>
      </c>
      <c r="E13" s="221">
        <v>36777</v>
      </c>
      <c r="F13" s="125" t="str">
        <f>CHOOSE(MONTH(E13),"January","February","March","April","May","June","July","August","September","October","November","December")</f>
        <v>September</v>
      </c>
      <c r="G13" s="125">
        <f ca="1">DATEDIF(E13,TODAY(),"Y")</f>
        <v>16</v>
      </c>
      <c r="I13" s="220">
        <v>76690</v>
      </c>
      <c r="J13" s="219">
        <v>3</v>
      </c>
    </row>
    <row r="14" spans="1:10" x14ac:dyDescent="0.25">
      <c r="A14" s="222" t="s">
        <v>418</v>
      </c>
      <c r="B14" s="125" t="s">
        <v>285</v>
      </c>
      <c r="C14" s="125" t="s">
        <v>272</v>
      </c>
      <c r="D14" s="125" t="s">
        <v>256</v>
      </c>
      <c r="E14" s="221">
        <v>36260</v>
      </c>
      <c r="F14" s="125" t="str">
        <f>CHOOSE(MONTH(E14),"January","February","March","April","May","June","July","August","September","October","November","December")</f>
        <v>April</v>
      </c>
      <c r="G14" s="125">
        <f ca="1">DATEDIF(E14,TODAY(),"Y")</f>
        <v>17</v>
      </c>
      <c r="H14" s="125" t="s">
        <v>257</v>
      </c>
      <c r="I14" s="220">
        <v>75150</v>
      </c>
      <c r="J14" s="219">
        <v>1</v>
      </c>
    </row>
    <row r="15" spans="1:10" x14ac:dyDescent="0.25">
      <c r="A15" s="222" t="s">
        <v>1005</v>
      </c>
      <c r="B15" s="125" t="s">
        <v>266</v>
      </c>
      <c r="C15" s="125" t="s">
        <v>272</v>
      </c>
      <c r="D15" s="125" t="s">
        <v>256</v>
      </c>
      <c r="E15" s="221">
        <v>36764</v>
      </c>
      <c r="F15" s="125" t="str">
        <f>CHOOSE(MONTH(E15),"January","February","March","April","May","June","July","August","September","October","November","December")</f>
        <v>August</v>
      </c>
      <c r="G15" s="125">
        <f ca="1">DATEDIF(E15,TODAY(),"Y")</f>
        <v>16</v>
      </c>
      <c r="H15" s="125" t="s">
        <v>276</v>
      </c>
      <c r="I15" s="220">
        <v>74840</v>
      </c>
      <c r="J15" s="219">
        <v>4</v>
      </c>
    </row>
    <row r="16" spans="1:10" x14ac:dyDescent="0.25">
      <c r="A16" s="222" t="s">
        <v>617</v>
      </c>
      <c r="B16" s="125" t="s">
        <v>266</v>
      </c>
      <c r="C16" s="125" t="s">
        <v>272</v>
      </c>
      <c r="D16" s="125" t="s">
        <v>256</v>
      </c>
      <c r="E16" s="221">
        <v>39069</v>
      </c>
      <c r="F16" s="125" t="str">
        <f>CHOOSE(MONTH(E16),"January","February","March","April","May","June","July","August","September","October","November","December")</f>
        <v>December</v>
      </c>
      <c r="G16" s="125">
        <f ca="1">DATEDIF(E16,TODAY(),"Y")</f>
        <v>9</v>
      </c>
      <c r="H16" s="125" t="s">
        <v>267</v>
      </c>
      <c r="I16" s="220">
        <v>37670</v>
      </c>
      <c r="J16" s="219">
        <v>3</v>
      </c>
    </row>
    <row r="17" spans="1:10" x14ac:dyDescent="0.25">
      <c r="A17" s="222" t="s">
        <v>702</v>
      </c>
      <c r="B17" s="125" t="s">
        <v>251</v>
      </c>
      <c r="C17" s="125" t="s">
        <v>272</v>
      </c>
      <c r="D17" s="125" t="s">
        <v>256</v>
      </c>
      <c r="E17" s="221">
        <v>36143</v>
      </c>
      <c r="F17" s="125" t="str">
        <f>CHOOSE(MONTH(E17),"January","February","March","April","May","June","July","August","September","October","November","December")</f>
        <v>December</v>
      </c>
      <c r="G17" s="125">
        <f ca="1">DATEDIF(E17,TODAY(),"Y")</f>
        <v>17</v>
      </c>
      <c r="H17" s="125" t="s">
        <v>283</v>
      </c>
      <c r="I17" s="220">
        <v>72090</v>
      </c>
      <c r="J17" s="219">
        <v>5</v>
      </c>
    </row>
    <row r="18" spans="1:10" x14ac:dyDescent="0.25">
      <c r="A18" s="222" t="s">
        <v>977</v>
      </c>
      <c r="B18" s="125" t="s">
        <v>271</v>
      </c>
      <c r="C18" s="125" t="s">
        <v>272</v>
      </c>
      <c r="D18" s="125" t="s">
        <v>261</v>
      </c>
      <c r="E18" s="221">
        <v>37782</v>
      </c>
      <c r="F18" s="125" t="str">
        <f>CHOOSE(MONTH(E18),"January","February","March","April","May","June","July","August","September","October","November","December")</f>
        <v>June</v>
      </c>
      <c r="G18" s="125">
        <f ca="1">DATEDIF(E18,TODAY(),"Y")</f>
        <v>13</v>
      </c>
      <c r="H18" s="125" t="s">
        <v>276</v>
      </c>
      <c r="I18" s="220">
        <v>17735</v>
      </c>
      <c r="J18" s="219">
        <v>3</v>
      </c>
    </row>
    <row r="19" spans="1:10" x14ac:dyDescent="0.25">
      <c r="A19" s="222" t="s">
        <v>581</v>
      </c>
      <c r="B19" s="125" t="s">
        <v>271</v>
      </c>
      <c r="C19" s="125" t="s">
        <v>272</v>
      </c>
      <c r="D19" s="125" t="s">
        <v>247</v>
      </c>
      <c r="E19" s="221">
        <v>34076</v>
      </c>
      <c r="F19" s="125" t="str">
        <f>CHOOSE(MONTH(E19),"January","February","March","April","May","June","July","August","September","October","November","December")</f>
        <v>April</v>
      </c>
      <c r="G19" s="125">
        <f ca="1">DATEDIF(E19,TODAY(),"Y")</f>
        <v>23</v>
      </c>
      <c r="I19" s="220">
        <v>66580</v>
      </c>
      <c r="J19" s="219">
        <v>5</v>
      </c>
    </row>
    <row r="20" spans="1:10" x14ac:dyDescent="0.25">
      <c r="A20" s="222" t="s">
        <v>655</v>
      </c>
      <c r="B20" s="125" t="s">
        <v>280</v>
      </c>
      <c r="C20" s="125" t="s">
        <v>272</v>
      </c>
      <c r="D20" s="125" t="s">
        <v>252</v>
      </c>
      <c r="E20" s="221">
        <v>33482</v>
      </c>
      <c r="F20" s="125" t="str">
        <f>CHOOSE(MONTH(E20),"January","February","March","April","May","June","July","August","September","October","November","December")</f>
        <v>September</v>
      </c>
      <c r="G20" s="125">
        <f ca="1">DATEDIF(E20,TODAY(),"Y")</f>
        <v>25</v>
      </c>
      <c r="H20" s="125" t="s">
        <v>257</v>
      </c>
      <c r="I20" s="220">
        <v>29070</v>
      </c>
      <c r="J20" s="219">
        <v>3</v>
      </c>
    </row>
    <row r="21" spans="1:10" x14ac:dyDescent="0.25">
      <c r="A21" s="222" t="s">
        <v>632</v>
      </c>
      <c r="B21" s="125" t="s">
        <v>251</v>
      </c>
      <c r="C21" s="125" t="s">
        <v>272</v>
      </c>
      <c r="D21" s="125" t="s">
        <v>256</v>
      </c>
      <c r="E21" s="221">
        <v>37404</v>
      </c>
      <c r="F21" s="125" t="str">
        <f>CHOOSE(MONTH(E21),"January","February","March","April","May","June","July","August","September","October","November","December")</f>
        <v>May</v>
      </c>
      <c r="G21" s="125">
        <f ca="1">DATEDIF(E21,TODAY(),"Y")</f>
        <v>14</v>
      </c>
      <c r="H21" s="125" t="s">
        <v>257</v>
      </c>
      <c r="I21" s="220">
        <v>30780</v>
      </c>
      <c r="J21" s="219">
        <v>4</v>
      </c>
    </row>
    <row r="22" spans="1:10" x14ac:dyDescent="0.25">
      <c r="A22" s="222" t="s">
        <v>335</v>
      </c>
      <c r="B22" s="125" t="s">
        <v>285</v>
      </c>
      <c r="C22" s="125" t="s">
        <v>272</v>
      </c>
      <c r="D22" s="125" t="s">
        <v>256</v>
      </c>
      <c r="E22" s="221">
        <v>35464</v>
      </c>
      <c r="F22" s="125" t="str">
        <f>CHOOSE(MONTH(E22),"January","February","March","April","May","June","July","August","September","October","November","December")</f>
        <v>February</v>
      </c>
      <c r="G22" s="125">
        <f ca="1">DATEDIF(E22,TODAY(),"Y")</f>
        <v>19</v>
      </c>
      <c r="H22" s="125" t="s">
        <v>257</v>
      </c>
      <c r="I22" s="220">
        <v>60830</v>
      </c>
      <c r="J22" s="219">
        <v>2</v>
      </c>
    </row>
    <row r="23" spans="1:10" x14ac:dyDescent="0.25">
      <c r="A23" s="222" t="s">
        <v>768</v>
      </c>
      <c r="B23" s="125" t="s">
        <v>271</v>
      </c>
      <c r="C23" s="125" t="s">
        <v>272</v>
      </c>
      <c r="D23" s="125" t="s">
        <v>256</v>
      </c>
      <c r="E23" s="221">
        <v>38142</v>
      </c>
      <c r="F23" s="125" t="str">
        <f>CHOOSE(MONTH(E23),"January","February","March","April","May","June","July","August","September","October","November","December")</f>
        <v>June</v>
      </c>
      <c r="G23" s="125">
        <f ca="1">DATEDIF(E23,TODAY(),"Y")</f>
        <v>12</v>
      </c>
      <c r="H23" s="125" t="s">
        <v>257</v>
      </c>
      <c r="I23" s="220">
        <v>49350</v>
      </c>
      <c r="J23" s="219">
        <v>4</v>
      </c>
    </row>
    <row r="24" spans="1:10" x14ac:dyDescent="0.25">
      <c r="A24" s="222" t="s">
        <v>747</v>
      </c>
      <c r="B24" s="125" t="s">
        <v>245</v>
      </c>
      <c r="C24" s="125" t="s">
        <v>272</v>
      </c>
      <c r="D24" s="125" t="s">
        <v>256</v>
      </c>
      <c r="E24" s="221">
        <v>39704</v>
      </c>
      <c r="F24" s="125" t="str">
        <f>CHOOSE(MONTH(E24),"January","February","March","April","May","June","July","August","September","October","November","December")</f>
        <v>September</v>
      </c>
      <c r="G24" s="125">
        <f ca="1">DATEDIF(E24,TODAY(),"Y")</f>
        <v>8</v>
      </c>
      <c r="H24" s="125" t="s">
        <v>276</v>
      </c>
      <c r="I24" s="220">
        <v>58290</v>
      </c>
      <c r="J24" s="219">
        <v>5</v>
      </c>
    </row>
    <row r="25" spans="1:10" x14ac:dyDescent="0.25">
      <c r="A25" s="222" t="s">
        <v>421</v>
      </c>
      <c r="B25" s="125" t="s">
        <v>251</v>
      </c>
      <c r="C25" s="125" t="s">
        <v>272</v>
      </c>
      <c r="D25" s="125" t="s">
        <v>261</v>
      </c>
      <c r="E25" s="221">
        <v>36217</v>
      </c>
      <c r="F25" s="125" t="str">
        <f>CHOOSE(MONTH(E25),"January","February","March","April","May","June","July","August","September","October","November","December")</f>
        <v>February</v>
      </c>
      <c r="G25" s="125">
        <f ca="1">DATEDIF(E25,TODAY(),"Y")</f>
        <v>17</v>
      </c>
      <c r="H25" s="125" t="s">
        <v>257</v>
      </c>
      <c r="I25" s="220">
        <v>15240</v>
      </c>
      <c r="J25" s="219">
        <v>1</v>
      </c>
    </row>
    <row r="26" spans="1:10" x14ac:dyDescent="0.25">
      <c r="A26" s="223" t="s">
        <v>296</v>
      </c>
    </row>
    <row r="27" spans="1:10" x14ac:dyDescent="0.25">
      <c r="A27" s="222" t="s">
        <v>547</v>
      </c>
      <c r="B27" s="125" t="s">
        <v>271</v>
      </c>
      <c r="C27" s="125" t="s">
        <v>296</v>
      </c>
      <c r="D27" s="125" t="s">
        <v>252</v>
      </c>
      <c r="E27" s="221">
        <v>35674</v>
      </c>
      <c r="F27" s="125" t="str">
        <f>CHOOSE(MONTH(E27),"January","February","March","April","May","June","July","August","September","October","November","December")</f>
        <v>September</v>
      </c>
      <c r="G27" s="125">
        <f ca="1">DATEDIF(E27,TODAY(),"Y")</f>
        <v>19</v>
      </c>
      <c r="I27" s="220">
        <v>20028</v>
      </c>
      <c r="J27" s="219">
        <v>4</v>
      </c>
    </row>
    <row r="28" spans="1:10" x14ac:dyDescent="0.25">
      <c r="A28" s="222" t="s">
        <v>571</v>
      </c>
      <c r="B28" s="125" t="s">
        <v>251</v>
      </c>
      <c r="C28" s="125" t="s">
        <v>296</v>
      </c>
      <c r="D28" s="125" t="s">
        <v>256</v>
      </c>
      <c r="E28" s="221">
        <v>38051</v>
      </c>
      <c r="F28" s="125" t="str">
        <f>CHOOSE(MONTH(E28),"January","February","March","April","May","June","July","August","September","October","November","December")</f>
        <v>March</v>
      </c>
      <c r="G28" s="125">
        <f ca="1">DATEDIF(E28,TODAY(),"Y")</f>
        <v>12</v>
      </c>
      <c r="H28" s="125" t="s">
        <v>257</v>
      </c>
      <c r="I28" s="220">
        <v>30350</v>
      </c>
      <c r="J28" s="219">
        <v>1</v>
      </c>
    </row>
    <row r="29" spans="1:10" x14ac:dyDescent="0.25">
      <c r="A29" s="222" t="s">
        <v>385</v>
      </c>
      <c r="B29" s="125" t="s">
        <v>245</v>
      </c>
      <c r="C29" s="125" t="s">
        <v>296</v>
      </c>
      <c r="D29" s="125" t="s">
        <v>256</v>
      </c>
      <c r="E29" s="221">
        <v>36893</v>
      </c>
      <c r="F29" s="125" t="str">
        <f>CHOOSE(MONTH(E29),"January","February","March","April","May","June","July","August","September","October","November","December")</f>
        <v>January</v>
      </c>
      <c r="G29" s="125">
        <f ca="1">DATEDIF(E29,TODAY(),"Y")</f>
        <v>15</v>
      </c>
      <c r="H29" s="125" t="s">
        <v>283</v>
      </c>
      <c r="I29" s="220">
        <v>33640</v>
      </c>
      <c r="J29" s="219">
        <v>3</v>
      </c>
    </row>
    <row r="30" spans="1:10" x14ac:dyDescent="0.25">
      <c r="A30" s="222" t="s">
        <v>959</v>
      </c>
      <c r="B30" s="125" t="s">
        <v>285</v>
      </c>
      <c r="C30" s="125" t="s">
        <v>296</v>
      </c>
      <c r="D30" s="125" t="s">
        <v>256</v>
      </c>
      <c r="E30" s="221">
        <v>34301</v>
      </c>
      <c r="F30" s="125" t="str">
        <f>CHOOSE(MONTH(E30),"January","February","March","April","May","June","July","August","September","October","November","December")</f>
        <v>November</v>
      </c>
      <c r="G30" s="125">
        <f ca="1">DATEDIF(E30,TODAY(),"Y")</f>
        <v>22</v>
      </c>
      <c r="H30" s="125" t="s">
        <v>257</v>
      </c>
      <c r="I30" s="220">
        <v>73440</v>
      </c>
      <c r="J30" s="219">
        <v>1</v>
      </c>
    </row>
    <row r="31" spans="1:10" x14ac:dyDescent="0.25">
      <c r="A31" s="222" t="s">
        <v>343</v>
      </c>
      <c r="B31" s="125" t="s">
        <v>271</v>
      </c>
      <c r="C31" s="125" t="s">
        <v>296</v>
      </c>
      <c r="D31" s="125" t="s">
        <v>256</v>
      </c>
      <c r="E31" s="221">
        <v>35459</v>
      </c>
      <c r="F31" s="125" t="str">
        <f>CHOOSE(MONTH(E31),"January","February","March","April","May","June","July","August","September","October","November","December")</f>
        <v>January</v>
      </c>
      <c r="G31" s="125">
        <f ca="1">DATEDIF(E31,TODAY(),"Y")</f>
        <v>19</v>
      </c>
      <c r="H31" s="125" t="s">
        <v>283</v>
      </c>
      <c r="I31" s="220">
        <v>49360</v>
      </c>
      <c r="J31" s="219">
        <v>2</v>
      </c>
    </row>
    <row r="32" spans="1:10" x14ac:dyDescent="0.25">
      <c r="A32" s="222" t="s">
        <v>843</v>
      </c>
      <c r="B32" s="125" t="s">
        <v>245</v>
      </c>
      <c r="C32" s="125" t="s">
        <v>296</v>
      </c>
      <c r="D32" s="125" t="s">
        <v>261</v>
      </c>
      <c r="E32" s="221">
        <v>35564</v>
      </c>
      <c r="F32" s="125" t="str">
        <f>CHOOSE(MONTH(E32),"January","February","March","April","May","June","July","August","September","October","November","December")</f>
        <v>May</v>
      </c>
      <c r="G32" s="125">
        <f ca="1">DATEDIF(E32,TODAY(),"Y")</f>
        <v>19</v>
      </c>
      <c r="H32" s="125" t="s">
        <v>257</v>
      </c>
      <c r="I32" s="220">
        <v>11025</v>
      </c>
      <c r="J32" s="219">
        <v>1</v>
      </c>
    </row>
    <row r="33" spans="1:10" x14ac:dyDescent="0.25">
      <c r="A33" s="222" t="s">
        <v>389</v>
      </c>
      <c r="B33" s="125" t="s">
        <v>245</v>
      </c>
      <c r="C33" s="125" t="s">
        <v>296</v>
      </c>
      <c r="D33" s="125" t="s">
        <v>256</v>
      </c>
      <c r="E33" s="221">
        <v>36619</v>
      </c>
      <c r="F33" s="125" t="str">
        <f>CHOOSE(MONTH(E33),"January","February","March","April","May","June","July","August","September","October","November","December")</f>
        <v>April</v>
      </c>
      <c r="G33" s="125">
        <f ca="1">DATEDIF(E33,TODAY(),"Y")</f>
        <v>16</v>
      </c>
      <c r="H33" s="125" t="s">
        <v>267</v>
      </c>
      <c r="I33" s="220">
        <v>56440</v>
      </c>
      <c r="J33" s="219">
        <v>1</v>
      </c>
    </row>
    <row r="34" spans="1:10" x14ac:dyDescent="0.25">
      <c r="A34" s="222" t="s">
        <v>858</v>
      </c>
      <c r="B34" s="125" t="s">
        <v>245</v>
      </c>
      <c r="C34" s="125" t="s">
        <v>296</v>
      </c>
      <c r="D34" s="125" t="s">
        <v>256</v>
      </c>
      <c r="E34" s="221">
        <v>33551</v>
      </c>
      <c r="F34" s="125" t="str">
        <f>CHOOSE(MONTH(E34),"January","February","March","April","May","June","July","August","September","October","November","December")</f>
        <v>November</v>
      </c>
      <c r="G34" s="125">
        <f ca="1">DATEDIF(E34,TODAY(),"Y")</f>
        <v>25</v>
      </c>
      <c r="H34" s="125" t="s">
        <v>262</v>
      </c>
      <c r="I34" s="220">
        <v>41350</v>
      </c>
      <c r="J34" s="219">
        <v>2</v>
      </c>
    </row>
    <row r="35" spans="1:10" x14ac:dyDescent="0.25">
      <c r="A35" s="222" t="s">
        <v>620</v>
      </c>
      <c r="B35" s="125" t="s">
        <v>285</v>
      </c>
      <c r="C35" s="125" t="s">
        <v>296</v>
      </c>
      <c r="D35" s="125" t="s">
        <v>256</v>
      </c>
      <c r="E35" s="221">
        <v>36214</v>
      </c>
      <c r="F35" s="125" t="str">
        <f>CHOOSE(MONTH(E35),"January","February","March","April","May","June","July","August","September","October","November","December")</f>
        <v>February</v>
      </c>
      <c r="G35" s="125">
        <f ca="1">DATEDIF(E35,TODAY(),"Y")</f>
        <v>17</v>
      </c>
      <c r="H35" s="125" t="s">
        <v>276</v>
      </c>
      <c r="I35" s="220">
        <v>47850</v>
      </c>
      <c r="J35" s="219">
        <v>1</v>
      </c>
    </row>
    <row r="36" spans="1:10" x14ac:dyDescent="0.25">
      <c r="A36" s="222" t="s">
        <v>972</v>
      </c>
      <c r="B36" s="125" t="s">
        <v>245</v>
      </c>
      <c r="C36" s="125" t="s">
        <v>296</v>
      </c>
      <c r="D36" s="125" t="s">
        <v>256</v>
      </c>
      <c r="E36" s="221">
        <v>40106</v>
      </c>
      <c r="F36" s="125" t="str">
        <f>CHOOSE(MONTH(E36),"January","February","March","April","May","June","July","August","September","October","November","December")</f>
        <v>October</v>
      </c>
      <c r="G36" s="125">
        <f ca="1">DATEDIF(E36,TODAY(),"Y")</f>
        <v>7</v>
      </c>
      <c r="H36" s="125" t="s">
        <v>262</v>
      </c>
      <c r="I36" s="220">
        <v>51180</v>
      </c>
      <c r="J36" s="219">
        <v>3</v>
      </c>
    </row>
    <row r="37" spans="1:10" x14ac:dyDescent="0.25">
      <c r="A37" s="223" t="s">
        <v>307</v>
      </c>
    </row>
    <row r="38" spans="1:10" x14ac:dyDescent="0.25">
      <c r="A38" s="222" t="s">
        <v>601</v>
      </c>
      <c r="B38" s="125" t="s">
        <v>285</v>
      </c>
      <c r="C38" s="125" t="s">
        <v>307</v>
      </c>
      <c r="D38" s="125" t="s">
        <v>261</v>
      </c>
      <c r="E38" s="221">
        <v>39417</v>
      </c>
      <c r="F38" s="125" t="str">
        <f>CHOOSE(MONTH(E38),"January","February","March","April","May","June","July","August","September","October","November","December")</f>
        <v>December</v>
      </c>
      <c r="G38" s="125">
        <f ca="1">DATEDIF(E38,TODAY(),"Y")</f>
        <v>8</v>
      </c>
      <c r="H38" s="125" t="s">
        <v>267</v>
      </c>
      <c r="I38" s="220">
        <v>46095</v>
      </c>
      <c r="J38" s="219">
        <v>3</v>
      </c>
    </row>
    <row r="39" spans="1:10" x14ac:dyDescent="0.25">
      <c r="A39" s="222" t="s">
        <v>1006</v>
      </c>
      <c r="B39" s="125" t="s">
        <v>271</v>
      </c>
      <c r="C39" s="125" t="s">
        <v>307</v>
      </c>
      <c r="D39" s="125" t="s">
        <v>261</v>
      </c>
      <c r="E39" s="221">
        <v>40152</v>
      </c>
      <c r="F39" s="125" t="str">
        <f>CHOOSE(MONTH(E39),"January","February","March","April","May","June","July","August","September","October","November","December")</f>
        <v>December</v>
      </c>
      <c r="G39" s="125">
        <f ca="1">DATEDIF(E39,TODAY(),"Y")</f>
        <v>6</v>
      </c>
      <c r="H39" s="125" t="s">
        <v>283</v>
      </c>
      <c r="I39" s="220">
        <v>28680</v>
      </c>
      <c r="J39" s="219">
        <v>1</v>
      </c>
    </row>
    <row r="40" spans="1:10" x14ac:dyDescent="0.25">
      <c r="A40" s="222" t="s">
        <v>850</v>
      </c>
      <c r="B40" s="125" t="s">
        <v>280</v>
      </c>
      <c r="C40" s="125" t="s">
        <v>307</v>
      </c>
      <c r="D40" s="125" t="s">
        <v>247</v>
      </c>
      <c r="E40" s="221">
        <v>35395</v>
      </c>
      <c r="F40" s="125" t="str">
        <f>CHOOSE(MONTH(E40),"January","February","March","April","May","June","July","August","September","October","November","December")</f>
        <v>November</v>
      </c>
      <c r="G40" s="125">
        <f ca="1">DATEDIF(E40,TODAY(),"Y")</f>
        <v>19</v>
      </c>
      <c r="I40" s="220">
        <v>58130</v>
      </c>
      <c r="J40" s="219">
        <v>2</v>
      </c>
    </row>
    <row r="41" spans="1:10" x14ac:dyDescent="0.25">
      <c r="A41" s="222" t="s">
        <v>925</v>
      </c>
      <c r="B41" s="125" t="s">
        <v>285</v>
      </c>
      <c r="C41" s="125" t="s">
        <v>307</v>
      </c>
      <c r="D41" s="125" t="s">
        <v>256</v>
      </c>
      <c r="E41" s="221">
        <v>33713</v>
      </c>
      <c r="F41" s="125" t="str">
        <f>CHOOSE(MONTH(E41),"January","February","March","April","May","June","July","August","September","October","November","December")</f>
        <v>April</v>
      </c>
      <c r="G41" s="125">
        <f ca="1">DATEDIF(E41,TODAY(),"Y")</f>
        <v>24</v>
      </c>
      <c r="H41" s="125" t="s">
        <v>257</v>
      </c>
      <c r="I41" s="220">
        <v>46220</v>
      </c>
      <c r="J41" s="219">
        <v>3</v>
      </c>
    </row>
    <row r="42" spans="1:10" x14ac:dyDescent="0.25">
      <c r="A42" s="223" t="s">
        <v>312</v>
      </c>
    </row>
    <row r="43" spans="1:10" x14ac:dyDescent="0.25">
      <c r="A43" s="222" t="s">
        <v>797</v>
      </c>
      <c r="B43" s="125" t="s">
        <v>285</v>
      </c>
      <c r="C43" s="125" t="s">
        <v>312</v>
      </c>
      <c r="D43" s="125" t="s">
        <v>247</v>
      </c>
      <c r="E43" s="221">
        <v>38907</v>
      </c>
      <c r="F43" s="125" t="str">
        <f>CHOOSE(MONTH(E43),"January","February","March","April","May","June","July","August","September","October","November","December")</f>
        <v>July</v>
      </c>
      <c r="G43" s="125">
        <f ca="1">DATEDIF(E43,TODAY(),"Y")</f>
        <v>10</v>
      </c>
      <c r="I43" s="220">
        <v>89310</v>
      </c>
      <c r="J43" s="219">
        <v>5</v>
      </c>
    </row>
    <row r="44" spans="1:10" x14ac:dyDescent="0.25">
      <c r="A44" s="222" t="s">
        <v>939</v>
      </c>
      <c r="B44" s="125" t="s">
        <v>266</v>
      </c>
      <c r="C44" s="125" t="s">
        <v>312</v>
      </c>
      <c r="D44" s="125" t="s">
        <v>247</v>
      </c>
      <c r="E44" s="221">
        <v>35940</v>
      </c>
      <c r="F44" s="125" t="str">
        <f>CHOOSE(MONTH(E44),"January","February","March","April","May","June","July","August","September","October","November","December")</f>
        <v>May</v>
      </c>
      <c r="G44" s="125">
        <f ca="1">DATEDIF(E44,TODAY(),"Y")</f>
        <v>18</v>
      </c>
      <c r="I44" s="220">
        <v>88000</v>
      </c>
      <c r="J44" s="219">
        <v>5</v>
      </c>
    </row>
    <row r="45" spans="1:10" x14ac:dyDescent="0.25">
      <c r="A45" s="222" t="s">
        <v>999</v>
      </c>
      <c r="B45" s="125" t="s">
        <v>245</v>
      </c>
      <c r="C45" s="125" t="s">
        <v>312</v>
      </c>
      <c r="D45" s="125" t="s">
        <v>261</v>
      </c>
      <c r="E45" s="221">
        <v>35517</v>
      </c>
      <c r="F45" s="125" t="str">
        <f>CHOOSE(MONTH(E45),"January","February","March","April","May","June","July","August","September","October","November","December")</f>
        <v>March</v>
      </c>
      <c r="G45" s="125">
        <f ca="1">DATEDIF(E45,TODAY(),"Y")</f>
        <v>19</v>
      </c>
      <c r="H45" s="125" t="s">
        <v>267</v>
      </c>
      <c r="I45" s="220">
        <v>48415</v>
      </c>
      <c r="J45" s="219">
        <v>4</v>
      </c>
    </row>
    <row r="46" spans="1:10" x14ac:dyDescent="0.25">
      <c r="A46" s="222" t="s">
        <v>844</v>
      </c>
      <c r="B46" s="125" t="s">
        <v>285</v>
      </c>
      <c r="C46" s="125" t="s">
        <v>312</v>
      </c>
      <c r="D46" s="125" t="s">
        <v>256</v>
      </c>
      <c r="E46" s="221">
        <v>37785</v>
      </c>
      <c r="F46" s="125" t="str">
        <f>CHOOSE(MONTH(E46),"January","February","March","April","May","June","July","August","September","October","November","December")</f>
        <v>June</v>
      </c>
      <c r="G46" s="125">
        <f ca="1">DATEDIF(E46,TODAY(),"Y")</f>
        <v>13</v>
      </c>
      <c r="H46" s="125" t="s">
        <v>283</v>
      </c>
      <c r="I46" s="220">
        <v>87280</v>
      </c>
      <c r="J46" s="219">
        <v>4</v>
      </c>
    </row>
    <row r="47" spans="1:10" x14ac:dyDescent="0.25">
      <c r="A47" s="222" t="s">
        <v>522</v>
      </c>
      <c r="B47" s="125" t="s">
        <v>285</v>
      </c>
      <c r="C47" s="125" t="s">
        <v>312</v>
      </c>
      <c r="D47" s="125" t="s">
        <v>261</v>
      </c>
      <c r="E47" s="221">
        <v>34548</v>
      </c>
      <c r="F47" s="125" t="str">
        <f>CHOOSE(MONTH(E47),"January","February","March","April","May","June","July","August","September","October","November","December")</f>
        <v>August</v>
      </c>
      <c r="G47" s="125">
        <f ca="1">DATEDIF(E47,TODAY(),"Y")</f>
        <v>22</v>
      </c>
      <c r="H47" s="125" t="s">
        <v>276</v>
      </c>
      <c r="I47" s="220">
        <v>38920</v>
      </c>
      <c r="J47" s="219">
        <v>4</v>
      </c>
    </row>
    <row r="48" spans="1:10" x14ac:dyDescent="0.25">
      <c r="A48" s="222" t="s">
        <v>870</v>
      </c>
      <c r="B48" s="125" t="s">
        <v>271</v>
      </c>
      <c r="C48" s="125" t="s">
        <v>312</v>
      </c>
      <c r="D48" s="125" t="s">
        <v>256</v>
      </c>
      <c r="E48" s="221">
        <v>33527</v>
      </c>
      <c r="F48" s="125" t="str">
        <f>CHOOSE(MONTH(E48),"January","February","March","April","May","June","July","August","September","October","November","December")</f>
        <v>October</v>
      </c>
      <c r="G48" s="125">
        <f ca="1">DATEDIF(E48,TODAY(),"Y")</f>
        <v>25</v>
      </c>
      <c r="H48" s="125" t="s">
        <v>283</v>
      </c>
      <c r="I48" s="220">
        <v>85920</v>
      </c>
      <c r="J48" s="219">
        <v>4</v>
      </c>
    </row>
    <row r="49" spans="1:10" x14ac:dyDescent="0.25">
      <c r="A49" s="222" t="s">
        <v>796</v>
      </c>
      <c r="B49" s="125" t="s">
        <v>285</v>
      </c>
      <c r="C49" s="125" t="s">
        <v>312</v>
      </c>
      <c r="D49" s="125" t="s">
        <v>256</v>
      </c>
      <c r="E49" s="221">
        <v>37348</v>
      </c>
      <c r="F49" s="125" t="str">
        <f>CHOOSE(MONTH(E49),"January","February","March","April","May","June","July","August","September","October","November","December")</f>
        <v>April</v>
      </c>
      <c r="G49" s="125">
        <f ca="1">DATEDIF(E49,TODAY(),"Y")</f>
        <v>14</v>
      </c>
      <c r="H49" s="125" t="s">
        <v>262</v>
      </c>
      <c r="I49" s="220">
        <v>85880</v>
      </c>
      <c r="J49" s="219">
        <v>3</v>
      </c>
    </row>
    <row r="50" spans="1:10" x14ac:dyDescent="0.25">
      <c r="A50" s="222" t="s">
        <v>993</v>
      </c>
      <c r="B50" s="125" t="s">
        <v>271</v>
      </c>
      <c r="C50" s="125" t="s">
        <v>312</v>
      </c>
      <c r="D50" s="125" t="s">
        <v>247</v>
      </c>
      <c r="E50" s="221">
        <v>35848</v>
      </c>
      <c r="F50" s="125" t="str">
        <f>CHOOSE(MONTH(E50),"January","February","March","April","May","June","July","August","September","October","November","December")</f>
        <v>February</v>
      </c>
      <c r="G50" s="125">
        <f ca="1">DATEDIF(E50,TODAY(),"Y")</f>
        <v>18</v>
      </c>
      <c r="I50" s="220">
        <v>85480</v>
      </c>
      <c r="J50" s="219">
        <v>5</v>
      </c>
    </row>
    <row r="51" spans="1:10" x14ac:dyDescent="0.25">
      <c r="A51" s="222" t="s">
        <v>496</v>
      </c>
      <c r="B51" s="125" t="s">
        <v>285</v>
      </c>
      <c r="C51" s="125" t="s">
        <v>312</v>
      </c>
      <c r="D51" s="125" t="s">
        <v>247</v>
      </c>
      <c r="E51" s="221">
        <v>35569</v>
      </c>
      <c r="F51" s="125" t="str">
        <f>CHOOSE(MONTH(E51),"January","February","March","April","May","June","July","August","September","October","November","December")</f>
        <v>May</v>
      </c>
      <c r="G51" s="125">
        <f ca="1">DATEDIF(E51,TODAY(),"Y")</f>
        <v>19</v>
      </c>
      <c r="I51" s="220">
        <v>84200</v>
      </c>
      <c r="J51" s="219">
        <v>2</v>
      </c>
    </row>
    <row r="52" spans="1:10" x14ac:dyDescent="0.25">
      <c r="A52" s="222" t="s">
        <v>734</v>
      </c>
      <c r="B52" s="125" t="s">
        <v>245</v>
      </c>
      <c r="C52" s="125" t="s">
        <v>312</v>
      </c>
      <c r="D52" s="125" t="s">
        <v>247</v>
      </c>
      <c r="E52" s="221">
        <v>38970</v>
      </c>
      <c r="F52" s="125" t="str">
        <f>CHOOSE(MONTH(E52),"January","February","March","April","May","June","July","August","September","October","November","December")</f>
        <v>September</v>
      </c>
      <c r="G52" s="125">
        <f ca="1">DATEDIF(E52,TODAY(),"Y")</f>
        <v>10</v>
      </c>
      <c r="I52" s="220">
        <v>83070</v>
      </c>
      <c r="J52" s="219">
        <v>3</v>
      </c>
    </row>
    <row r="53" spans="1:10" x14ac:dyDescent="0.25">
      <c r="A53" s="222" t="s">
        <v>624</v>
      </c>
      <c r="B53" s="125" t="s">
        <v>245</v>
      </c>
      <c r="C53" s="125" t="s">
        <v>312</v>
      </c>
      <c r="D53" s="125" t="s">
        <v>247</v>
      </c>
      <c r="E53" s="221">
        <v>33981</v>
      </c>
      <c r="F53" s="125" t="str">
        <f>CHOOSE(MONTH(E53),"January","February","March","April","May","June","July","August","September","October","November","December")</f>
        <v>January</v>
      </c>
      <c r="G53" s="125">
        <f ca="1">DATEDIF(E53,TODAY(),"Y")</f>
        <v>23</v>
      </c>
      <c r="I53" s="220">
        <v>83020</v>
      </c>
      <c r="J53" s="219">
        <v>4</v>
      </c>
    </row>
    <row r="54" spans="1:10" x14ac:dyDescent="0.25">
      <c r="A54" s="222" t="s">
        <v>471</v>
      </c>
      <c r="B54" s="125" t="s">
        <v>251</v>
      </c>
      <c r="C54" s="125" t="s">
        <v>312</v>
      </c>
      <c r="D54" s="125" t="s">
        <v>256</v>
      </c>
      <c r="E54" s="221">
        <v>35197</v>
      </c>
      <c r="F54" s="125" t="str">
        <f>CHOOSE(MONTH(E54),"January","February","March","April","May","June","July","August","September","October","November","December")</f>
        <v>May</v>
      </c>
      <c r="G54" s="125">
        <f ca="1">DATEDIF(E54,TODAY(),"Y")</f>
        <v>20</v>
      </c>
      <c r="H54" s="125" t="s">
        <v>276</v>
      </c>
      <c r="I54" s="220">
        <v>82120</v>
      </c>
      <c r="J54" s="219">
        <v>5</v>
      </c>
    </row>
    <row r="55" spans="1:10" x14ac:dyDescent="0.25">
      <c r="A55" s="222" t="s">
        <v>630</v>
      </c>
      <c r="B55" s="125" t="s">
        <v>271</v>
      </c>
      <c r="C55" s="125" t="s">
        <v>312</v>
      </c>
      <c r="D55" s="125" t="s">
        <v>261</v>
      </c>
      <c r="E55" s="221">
        <v>34166</v>
      </c>
      <c r="F55" s="125" t="str">
        <f>CHOOSE(MONTH(E55),"January","February","March","April","May","June","July","August","September","October","November","December")</f>
        <v>July</v>
      </c>
      <c r="G55" s="125">
        <f ca="1">DATEDIF(E55,TODAY(),"Y")</f>
        <v>23</v>
      </c>
      <c r="H55" s="125" t="s">
        <v>257</v>
      </c>
      <c r="I55" s="220">
        <v>26890</v>
      </c>
      <c r="J55" s="219">
        <v>3</v>
      </c>
    </row>
    <row r="56" spans="1:10" x14ac:dyDescent="0.25">
      <c r="A56" s="222" t="s">
        <v>577</v>
      </c>
      <c r="B56" s="125" t="s">
        <v>285</v>
      </c>
      <c r="C56" s="125" t="s">
        <v>312</v>
      </c>
      <c r="D56" s="125" t="s">
        <v>252</v>
      </c>
      <c r="E56" s="221">
        <v>33620</v>
      </c>
      <c r="F56" s="125" t="str">
        <f>CHOOSE(MONTH(E56),"January","February","March","April","May","June","July","August","September","October","November","December")</f>
        <v>January</v>
      </c>
      <c r="G56" s="125">
        <f ca="1">DATEDIF(E56,TODAY(),"Y")</f>
        <v>24</v>
      </c>
      <c r="I56" s="220">
        <v>14568</v>
      </c>
      <c r="J56" s="219">
        <v>3</v>
      </c>
    </row>
    <row r="57" spans="1:10" x14ac:dyDescent="0.25">
      <c r="A57" s="222" t="s">
        <v>941</v>
      </c>
      <c r="B57" s="125" t="s">
        <v>285</v>
      </c>
      <c r="C57" s="125" t="s">
        <v>312</v>
      </c>
      <c r="D57" s="125" t="s">
        <v>247</v>
      </c>
      <c r="E57" s="221">
        <v>39959</v>
      </c>
      <c r="F57" s="125" t="str">
        <f>CHOOSE(MONTH(E57),"January","February","March","April","May","June","July","August","September","October","November","December")</f>
        <v>May</v>
      </c>
      <c r="G57" s="125">
        <f ca="1">DATEDIF(E57,TODAY(),"Y")</f>
        <v>7</v>
      </c>
      <c r="I57" s="220">
        <v>79460</v>
      </c>
      <c r="J57" s="219">
        <v>5</v>
      </c>
    </row>
    <row r="58" spans="1:10" x14ac:dyDescent="0.25">
      <c r="A58" s="222" t="s">
        <v>866</v>
      </c>
      <c r="B58" s="125" t="s">
        <v>245</v>
      </c>
      <c r="C58" s="125" t="s">
        <v>312</v>
      </c>
      <c r="D58" s="125" t="s">
        <v>256</v>
      </c>
      <c r="E58" s="221">
        <v>33348</v>
      </c>
      <c r="F58" s="125" t="str">
        <f>CHOOSE(MONTH(E58),"January","February","March","April","May","June","July","August","September","October","November","December")</f>
        <v>April</v>
      </c>
      <c r="G58" s="125">
        <f ca="1">DATEDIF(E58,TODAY(),"Y")</f>
        <v>25</v>
      </c>
      <c r="H58" s="125" t="s">
        <v>276</v>
      </c>
      <c r="I58" s="220">
        <v>49810</v>
      </c>
      <c r="J58" s="219">
        <v>2</v>
      </c>
    </row>
    <row r="59" spans="1:10" x14ac:dyDescent="0.25">
      <c r="A59" s="222" t="s">
        <v>800</v>
      </c>
      <c r="B59" s="125" t="s">
        <v>245</v>
      </c>
      <c r="C59" s="125" t="s">
        <v>312</v>
      </c>
      <c r="D59" s="125" t="s">
        <v>256</v>
      </c>
      <c r="E59" s="221">
        <v>35667</v>
      </c>
      <c r="F59" s="125" t="str">
        <f>CHOOSE(MONTH(E59),"January","February","March","April","May","June","July","August","September","October","November","December")</f>
        <v>August</v>
      </c>
      <c r="G59" s="125">
        <f ca="1">DATEDIF(E59,TODAY(),"Y")</f>
        <v>19</v>
      </c>
      <c r="H59" s="125" t="s">
        <v>257</v>
      </c>
      <c r="I59" s="220">
        <v>40920</v>
      </c>
      <c r="J59" s="219">
        <v>4</v>
      </c>
    </row>
    <row r="60" spans="1:10" x14ac:dyDescent="0.25">
      <c r="A60" s="222" t="s">
        <v>893</v>
      </c>
      <c r="B60" s="125" t="s">
        <v>285</v>
      </c>
      <c r="C60" s="125" t="s">
        <v>312</v>
      </c>
      <c r="D60" s="125" t="s">
        <v>256</v>
      </c>
      <c r="E60" s="221">
        <v>37008</v>
      </c>
      <c r="F60" s="125" t="str">
        <f>CHOOSE(MONTH(E60),"January","February","March","April","May","June","July","August","September","October","November","December")</f>
        <v>April</v>
      </c>
      <c r="G60" s="125">
        <f ca="1">DATEDIF(E60,TODAY(),"Y")</f>
        <v>15</v>
      </c>
      <c r="H60" s="125" t="s">
        <v>257</v>
      </c>
      <c r="I60" s="220">
        <v>27180</v>
      </c>
      <c r="J60" s="219">
        <v>4</v>
      </c>
    </row>
    <row r="61" spans="1:10" x14ac:dyDescent="0.25">
      <c r="A61" s="222" t="s">
        <v>910</v>
      </c>
      <c r="B61" s="125" t="s">
        <v>285</v>
      </c>
      <c r="C61" s="125" t="s">
        <v>312</v>
      </c>
      <c r="D61" s="125" t="s">
        <v>256</v>
      </c>
      <c r="E61" s="221">
        <v>36506</v>
      </c>
      <c r="F61" s="125" t="str">
        <f>CHOOSE(MONTH(E61),"January","February","March","April","May","June","July","August","September","October","November","December")</f>
        <v>December</v>
      </c>
      <c r="G61" s="125">
        <f ca="1">DATEDIF(E61,TODAY(),"Y")</f>
        <v>16</v>
      </c>
      <c r="H61" s="125" t="s">
        <v>283</v>
      </c>
      <c r="I61" s="220">
        <v>32100</v>
      </c>
      <c r="J61" s="219">
        <v>1</v>
      </c>
    </row>
    <row r="62" spans="1:10" x14ac:dyDescent="0.25">
      <c r="A62" s="222" t="s">
        <v>692</v>
      </c>
      <c r="B62" s="125" t="s">
        <v>271</v>
      </c>
      <c r="C62" s="125" t="s">
        <v>312</v>
      </c>
      <c r="D62" s="125" t="s">
        <v>256</v>
      </c>
      <c r="E62" s="221">
        <v>40085</v>
      </c>
      <c r="F62" s="125" t="str">
        <f>CHOOSE(MONTH(E62),"January","February","March","April","May","June","July","August","September","October","November","December")</f>
        <v>September</v>
      </c>
      <c r="G62" s="125">
        <f ca="1">DATEDIF(E62,TODAY(),"Y")</f>
        <v>7</v>
      </c>
      <c r="H62" s="125" t="s">
        <v>257</v>
      </c>
      <c r="I62" s="220">
        <v>41490</v>
      </c>
      <c r="J62" s="219">
        <v>5</v>
      </c>
    </row>
    <row r="63" spans="1:10" x14ac:dyDescent="0.25">
      <c r="A63" s="222" t="s">
        <v>301</v>
      </c>
      <c r="B63" s="125" t="s">
        <v>271</v>
      </c>
      <c r="C63" s="125" t="s">
        <v>312</v>
      </c>
      <c r="D63" s="125" t="s">
        <v>256</v>
      </c>
      <c r="E63" s="221">
        <v>40501</v>
      </c>
      <c r="F63" s="125" t="str">
        <f>CHOOSE(MONTH(E63),"January","February","March","April","May","June","July","August","September","October","November","December")</f>
        <v>November</v>
      </c>
      <c r="G63" s="125">
        <f ca="1">DATEDIF(E63,TODAY(),"Y")</f>
        <v>5</v>
      </c>
      <c r="H63" s="125" t="s">
        <v>267</v>
      </c>
      <c r="I63" s="220">
        <v>77820</v>
      </c>
      <c r="J63" s="219">
        <v>3</v>
      </c>
    </row>
    <row r="64" spans="1:10" x14ac:dyDescent="0.25">
      <c r="A64" s="222" t="s">
        <v>562</v>
      </c>
      <c r="B64" s="125" t="s">
        <v>285</v>
      </c>
      <c r="C64" s="125" t="s">
        <v>312</v>
      </c>
      <c r="D64" s="125" t="s">
        <v>256</v>
      </c>
      <c r="E64" s="221">
        <v>35207</v>
      </c>
      <c r="F64" s="125" t="str">
        <f>CHOOSE(MONTH(E64),"January","February","March","April","May","June","July","August","September","October","November","December")</f>
        <v>May</v>
      </c>
      <c r="G64" s="125">
        <f ca="1">DATEDIF(E64,TODAY(),"Y")</f>
        <v>20</v>
      </c>
      <c r="H64" s="125" t="s">
        <v>267</v>
      </c>
      <c r="I64" s="220">
        <v>77580</v>
      </c>
      <c r="J64" s="219">
        <v>3</v>
      </c>
    </row>
    <row r="65" spans="1:10" x14ac:dyDescent="0.25">
      <c r="A65" s="222" t="s">
        <v>703</v>
      </c>
      <c r="B65" s="125" t="s">
        <v>271</v>
      </c>
      <c r="C65" s="125" t="s">
        <v>312</v>
      </c>
      <c r="D65" s="125" t="s">
        <v>256</v>
      </c>
      <c r="E65" s="221">
        <v>35086</v>
      </c>
      <c r="F65" s="125" t="str">
        <f>CHOOSE(MONTH(E65),"January","February","March","April","May","June","July","August","September","October","November","December")</f>
        <v>January</v>
      </c>
      <c r="G65" s="125">
        <f ca="1">DATEDIF(E65,TODAY(),"Y")</f>
        <v>20</v>
      </c>
      <c r="H65" s="125" t="s">
        <v>267</v>
      </c>
      <c r="I65" s="220">
        <v>77350</v>
      </c>
      <c r="J65" s="219">
        <v>5</v>
      </c>
    </row>
    <row r="66" spans="1:10" x14ac:dyDescent="0.25">
      <c r="A66" s="222" t="s">
        <v>599</v>
      </c>
      <c r="B66" s="125" t="s">
        <v>245</v>
      </c>
      <c r="C66" s="125" t="s">
        <v>312</v>
      </c>
      <c r="D66" s="125" t="s">
        <v>247</v>
      </c>
      <c r="E66" s="221">
        <v>36087</v>
      </c>
      <c r="F66" s="125" t="str">
        <f>CHOOSE(MONTH(E66),"January","February","March","April","May","June","July","August","September","October","November","December")</f>
        <v>October</v>
      </c>
      <c r="G66" s="125">
        <f ca="1">DATEDIF(E66,TODAY(),"Y")</f>
        <v>18</v>
      </c>
      <c r="I66" s="220">
        <v>76930</v>
      </c>
      <c r="J66" s="219">
        <v>1</v>
      </c>
    </row>
    <row r="67" spans="1:10" x14ac:dyDescent="0.25">
      <c r="A67" s="222" t="s">
        <v>1008</v>
      </c>
      <c r="B67" s="125" t="s">
        <v>280</v>
      </c>
      <c r="C67" s="125" t="s">
        <v>312</v>
      </c>
      <c r="D67" s="125" t="s">
        <v>247</v>
      </c>
      <c r="E67" s="221">
        <v>39922</v>
      </c>
      <c r="F67" s="125" t="str">
        <f>CHOOSE(MONTH(E67),"January","February","March","April","May","June","July","August","September","October","November","December")</f>
        <v>April</v>
      </c>
      <c r="G67" s="125">
        <f ca="1">DATEDIF(E67,TODAY(),"Y")</f>
        <v>7</v>
      </c>
      <c r="I67" s="220">
        <v>25790</v>
      </c>
      <c r="J67" s="219">
        <v>3</v>
      </c>
    </row>
    <row r="68" spans="1:10" x14ac:dyDescent="0.25">
      <c r="A68" s="222" t="s">
        <v>770</v>
      </c>
      <c r="B68" s="125" t="s">
        <v>271</v>
      </c>
      <c r="C68" s="125" t="s">
        <v>312</v>
      </c>
      <c r="D68" s="125" t="s">
        <v>247</v>
      </c>
      <c r="E68" s="221">
        <v>35505</v>
      </c>
      <c r="F68" s="125" t="str">
        <f>CHOOSE(MONTH(E68),"January","February","March","April","May","June","July","August","September","October","November","December")</f>
        <v>March</v>
      </c>
      <c r="G68" s="125">
        <f ca="1">DATEDIF(E68,TODAY(),"Y")</f>
        <v>19</v>
      </c>
      <c r="I68" s="220">
        <v>74740</v>
      </c>
      <c r="J68" s="219">
        <v>5</v>
      </c>
    </row>
    <row r="69" spans="1:10" x14ac:dyDescent="0.25">
      <c r="A69" s="222" t="s">
        <v>861</v>
      </c>
      <c r="B69" s="125" t="s">
        <v>251</v>
      </c>
      <c r="C69" s="125" t="s">
        <v>312</v>
      </c>
      <c r="D69" s="125" t="s">
        <v>256</v>
      </c>
      <c r="E69" s="221">
        <v>40575</v>
      </c>
      <c r="F69" s="125" t="str">
        <f>CHOOSE(MONTH(E69),"January","February","March","April","May","June","July","August","September","October","November","December")</f>
        <v>February</v>
      </c>
      <c r="G69" s="125">
        <f ca="1">DATEDIF(E69,TODAY(),"Y")</f>
        <v>5</v>
      </c>
      <c r="H69" s="125" t="s">
        <v>276</v>
      </c>
      <c r="I69" s="220">
        <v>74710</v>
      </c>
      <c r="J69" s="219">
        <v>2</v>
      </c>
    </row>
    <row r="70" spans="1:10" x14ac:dyDescent="0.25">
      <c r="A70" s="222" t="s">
        <v>864</v>
      </c>
      <c r="B70" s="125" t="s">
        <v>285</v>
      </c>
      <c r="C70" s="125" t="s">
        <v>312</v>
      </c>
      <c r="D70" s="125" t="s">
        <v>256</v>
      </c>
      <c r="E70" s="221">
        <v>34474</v>
      </c>
      <c r="F70" s="125" t="str">
        <f>CHOOSE(MONTH(E70),"January","February","March","April","May","June","July","August","September","October","November","December")</f>
        <v>May</v>
      </c>
      <c r="G70" s="125">
        <f ca="1">DATEDIF(E70,TODAY(),"Y")</f>
        <v>22</v>
      </c>
      <c r="H70" s="125" t="s">
        <v>262</v>
      </c>
      <c r="I70" s="220">
        <v>74670</v>
      </c>
      <c r="J70" s="219">
        <v>5</v>
      </c>
    </row>
    <row r="71" spans="1:10" x14ac:dyDescent="0.25">
      <c r="A71" s="222" t="s">
        <v>651</v>
      </c>
      <c r="B71" s="125" t="s">
        <v>271</v>
      </c>
      <c r="C71" s="125" t="s">
        <v>312</v>
      </c>
      <c r="D71" s="125" t="s">
        <v>247</v>
      </c>
      <c r="E71" s="221">
        <v>33228</v>
      </c>
      <c r="F71" s="125" t="str">
        <f>CHOOSE(MONTH(E71),"January","February","March","April","May","June","July","August","September","October","November","December")</f>
        <v>December</v>
      </c>
      <c r="G71" s="125">
        <f ca="1">DATEDIF(E71,TODAY(),"Y")</f>
        <v>25</v>
      </c>
      <c r="I71" s="220">
        <v>42940</v>
      </c>
      <c r="J71" s="219">
        <v>1</v>
      </c>
    </row>
    <row r="72" spans="1:10" x14ac:dyDescent="0.25">
      <c r="A72" s="222" t="s">
        <v>275</v>
      </c>
      <c r="B72" s="125" t="s">
        <v>280</v>
      </c>
      <c r="C72" s="125" t="s">
        <v>312</v>
      </c>
      <c r="D72" s="125" t="s">
        <v>247</v>
      </c>
      <c r="E72" s="221">
        <v>36038</v>
      </c>
      <c r="F72" s="125" t="str">
        <f>CHOOSE(MONTH(E72),"January","February","March","April","May","June","July","August","September","October","November","December")</f>
        <v>August</v>
      </c>
      <c r="G72" s="125">
        <f ca="1">DATEDIF(E72,TODAY(),"Y")</f>
        <v>18</v>
      </c>
      <c r="I72" s="220">
        <v>30340</v>
      </c>
      <c r="J72" s="219">
        <v>3</v>
      </c>
    </row>
    <row r="73" spans="1:10" x14ac:dyDescent="0.25">
      <c r="A73" s="222" t="s">
        <v>877</v>
      </c>
      <c r="B73" s="125" t="s">
        <v>271</v>
      </c>
      <c r="C73" s="125" t="s">
        <v>312</v>
      </c>
      <c r="D73" s="125" t="s">
        <v>256</v>
      </c>
      <c r="E73" s="221">
        <v>37241</v>
      </c>
      <c r="F73" s="125" t="str">
        <f>CHOOSE(MONTH(E73),"January","February","March","April","May","June","July","August","September","October","November","December")</f>
        <v>December</v>
      </c>
      <c r="G73" s="125">
        <f ca="1">DATEDIF(E73,TODAY(),"Y")</f>
        <v>14</v>
      </c>
      <c r="H73" s="125" t="s">
        <v>257</v>
      </c>
      <c r="I73" s="220">
        <v>71950</v>
      </c>
      <c r="J73" s="219">
        <v>5</v>
      </c>
    </row>
    <row r="74" spans="1:10" x14ac:dyDescent="0.25">
      <c r="A74" s="222" t="s">
        <v>968</v>
      </c>
      <c r="B74" s="125" t="s">
        <v>266</v>
      </c>
      <c r="C74" s="125" t="s">
        <v>312</v>
      </c>
      <c r="D74" s="125" t="s">
        <v>261</v>
      </c>
      <c r="E74" s="221">
        <v>36896</v>
      </c>
      <c r="F74" s="125" t="str">
        <f>CHOOSE(MONTH(E74),"January","February","March","April","May","June","July","August","September","October","November","December")</f>
        <v>January</v>
      </c>
      <c r="G74" s="125">
        <f ca="1">DATEDIF(E74,TODAY(),"Y")</f>
        <v>15</v>
      </c>
      <c r="H74" s="125" t="s">
        <v>257</v>
      </c>
      <c r="I74" s="220">
        <v>35280</v>
      </c>
      <c r="J74" s="219">
        <v>3</v>
      </c>
    </row>
    <row r="75" spans="1:10" x14ac:dyDescent="0.25">
      <c r="A75" s="222" t="s">
        <v>647</v>
      </c>
      <c r="B75" s="125" t="s">
        <v>285</v>
      </c>
      <c r="C75" s="125" t="s">
        <v>312</v>
      </c>
      <c r="D75" s="125" t="s">
        <v>256</v>
      </c>
      <c r="E75" s="221">
        <v>33895</v>
      </c>
      <c r="F75" s="125" t="str">
        <f>CHOOSE(MONTH(E75),"January","February","March","April","May","June","July","August","September","October","November","December")</f>
        <v>October</v>
      </c>
      <c r="G75" s="125">
        <f ca="1">DATEDIF(E75,TODAY(),"Y")</f>
        <v>24</v>
      </c>
      <c r="H75" s="125" t="s">
        <v>283</v>
      </c>
      <c r="I75" s="220">
        <v>71670</v>
      </c>
      <c r="J75" s="219">
        <v>4</v>
      </c>
    </row>
    <row r="76" spans="1:10" x14ac:dyDescent="0.25">
      <c r="A76" s="222" t="s">
        <v>961</v>
      </c>
      <c r="B76" s="125" t="s">
        <v>245</v>
      </c>
      <c r="C76" s="125" t="s">
        <v>312</v>
      </c>
      <c r="D76" s="125" t="s">
        <v>256</v>
      </c>
      <c r="E76" s="221">
        <v>33786</v>
      </c>
      <c r="F76" s="125" t="str">
        <f>CHOOSE(MONTH(E76),"January","February","March","April","May","June","July","August","September","October","November","December")</f>
        <v>July</v>
      </c>
      <c r="G76" s="125">
        <f ca="1">DATEDIF(E76,TODAY(),"Y")</f>
        <v>24</v>
      </c>
      <c r="H76" s="125" t="s">
        <v>257</v>
      </c>
      <c r="I76" s="220">
        <v>71150</v>
      </c>
      <c r="J76" s="219">
        <v>2</v>
      </c>
    </row>
    <row r="77" spans="1:10" x14ac:dyDescent="0.25">
      <c r="A77" s="222" t="s">
        <v>340</v>
      </c>
      <c r="B77" s="125" t="s">
        <v>245</v>
      </c>
      <c r="C77" s="125" t="s">
        <v>312</v>
      </c>
      <c r="D77" s="125" t="s">
        <v>256</v>
      </c>
      <c r="E77" s="221">
        <v>35965</v>
      </c>
      <c r="F77" s="125" t="str">
        <f>CHOOSE(MONTH(E77),"January","February","March","April","May","June","July","August","September","October","November","December")</f>
        <v>June</v>
      </c>
      <c r="G77" s="125">
        <f ca="1">DATEDIF(E77,TODAY(),"Y")</f>
        <v>18</v>
      </c>
      <c r="H77" s="125" t="s">
        <v>267</v>
      </c>
      <c r="I77" s="220">
        <v>34780</v>
      </c>
      <c r="J77" s="219">
        <v>4</v>
      </c>
    </row>
    <row r="78" spans="1:10" x14ac:dyDescent="0.25">
      <c r="A78" s="222" t="s">
        <v>779</v>
      </c>
      <c r="B78" s="125" t="s">
        <v>285</v>
      </c>
      <c r="C78" s="125" t="s">
        <v>312</v>
      </c>
      <c r="D78" s="125" t="s">
        <v>256</v>
      </c>
      <c r="E78" s="221">
        <v>40596</v>
      </c>
      <c r="F78" s="125" t="str">
        <f>CHOOSE(MONTH(E78),"January","February","March","April","May","June","July","August","September","October","November","December")</f>
        <v>February</v>
      </c>
      <c r="G78" s="125">
        <f ca="1">DATEDIF(E78,TODAY(),"Y")</f>
        <v>5</v>
      </c>
      <c r="H78" s="125" t="s">
        <v>267</v>
      </c>
      <c r="I78" s="220">
        <v>68910</v>
      </c>
      <c r="J78" s="219">
        <v>5</v>
      </c>
    </row>
    <row r="79" spans="1:10" x14ac:dyDescent="0.25">
      <c r="A79" s="222" t="s">
        <v>887</v>
      </c>
      <c r="B79" s="125" t="s">
        <v>285</v>
      </c>
      <c r="C79" s="125" t="s">
        <v>312</v>
      </c>
      <c r="D79" s="125" t="s">
        <v>256</v>
      </c>
      <c r="E79" s="221">
        <v>37018</v>
      </c>
      <c r="F79" s="125" t="str">
        <f>CHOOSE(MONTH(E79),"January","February","March","April","May","June","July","August","September","October","November","December")</f>
        <v>May</v>
      </c>
      <c r="G79" s="125">
        <f ca="1">DATEDIF(E79,TODAY(),"Y")</f>
        <v>15</v>
      </c>
      <c r="H79" s="125" t="s">
        <v>283</v>
      </c>
      <c r="I79" s="220">
        <v>28650</v>
      </c>
      <c r="J79" s="219">
        <v>4</v>
      </c>
    </row>
    <row r="80" spans="1:10" x14ac:dyDescent="0.25">
      <c r="A80" s="222" t="s">
        <v>931</v>
      </c>
      <c r="B80" s="125" t="s">
        <v>266</v>
      </c>
      <c r="C80" s="125" t="s">
        <v>312</v>
      </c>
      <c r="D80" s="125" t="s">
        <v>256</v>
      </c>
      <c r="E80" s="221">
        <v>34996</v>
      </c>
      <c r="F80" s="125" t="str">
        <f>CHOOSE(MONTH(E80),"January","February","March","April","May","June","July","August","September","October","November","December")</f>
        <v>October</v>
      </c>
      <c r="G80" s="125">
        <f ca="1">DATEDIF(E80,TODAY(),"Y")</f>
        <v>21</v>
      </c>
      <c r="H80" s="125" t="s">
        <v>257</v>
      </c>
      <c r="I80" s="220">
        <v>67890</v>
      </c>
      <c r="J80" s="219">
        <v>5</v>
      </c>
    </row>
    <row r="81" spans="1:10" x14ac:dyDescent="0.25">
      <c r="A81" s="222" t="s">
        <v>811</v>
      </c>
      <c r="B81" s="125" t="s">
        <v>271</v>
      </c>
      <c r="C81" s="125" t="s">
        <v>312</v>
      </c>
      <c r="D81" s="125" t="s">
        <v>261</v>
      </c>
      <c r="E81" s="221">
        <v>35842</v>
      </c>
      <c r="F81" s="125" t="str">
        <f>CHOOSE(MONTH(E81),"January","February","March","April","May","June","July","August","September","October","November","December")</f>
        <v>February</v>
      </c>
      <c r="G81" s="125">
        <f ca="1">DATEDIF(E81,TODAY(),"Y")</f>
        <v>18</v>
      </c>
      <c r="H81" s="125" t="s">
        <v>276</v>
      </c>
      <c r="I81" s="220">
        <v>23380</v>
      </c>
      <c r="J81" s="219">
        <v>4</v>
      </c>
    </row>
    <row r="82" spans="1:10" x14ac:dyDescent="0.25">
      <c r="A82" s="222" t="s">
        <v>309</v>
      </c>
      <c r="B82" s="125" t="s">
        <v>285</v>
      </c>
      <c r="C82" s="125" t="s">
        <v>312</v>
      </c>
      <c r="D82" s="125" t="s">
        <v>252</v>
      </c>
      <c r="E82" s="221">
        <v>36602</v>
      </c>
      <c r="F82" s="125" t="str">
        <f>CHOOSE(MONTH(E82),"January","February","March","April","May","June","July","August","September","October","November","December")</f>
        <v>March</v>
      </c>
      <c r="G82" s="125">
        <f ca="1">DATEDIF(E82,TODAY(),"Y")</f>
        <v>16</v>
      </c>
      <c r="I82" s="220">
        <v>30080</v>
      </c>
      <c r="J82" s="219">
        <v>3</v>
      </c>
    </row>
    <row r="83" spans="1:10" x14ac:dyDescent="0.25">
      <c r="A83" s="222" t="s">
        <v>613</v>
      </c>
      <c r="B83" s="125" t="s">
        <v>245</v>
      </c>
      <c r="C83" s="125" t="s">
        <v>312</v>
      </c>
      <c r="D83" s="125" t="s">
        <v>256</v>
      </c>
      <c r="E83" s="221">
        <v>37960</v>
      </c>
      <c r="F83" s="125" t="str">
        <f>CHOOSE(MONTH(E83),"January","February","March","April","May","June","July","August","September","October","November","December")</f>
        <v>December</v>
      </c>
      <c r="G83" s="125">
        <f ca="1">DATEDIF(E83,TODAY(),"Y")</f>
        <v>12</v>
      </c>
      <c r="H83" s="125" t="s">
        <v>257</v>
      </c>
      <c r="I83" s="220">
        <v>66890</v>
      </c>
      <c r="J83" s="219">
        <v>5</v>
      </c>
    </row>
    <row r="84" spans="1:10" x14ac:dyDescent="0.25">
      <c r="A84" s="222" t="s">
        <v>963</v>
      </c>
      <c r="B84" s="125" t="s">
        <v>251</v>
      </c>
      <c r="C84" s="125" t="s">
        <v>312</v>
      </c>
      <c r="D84" s="125" t="s">
        <v>247</v>
      </c>
      <c r="E84" s="221">
        <v>33678</v>
      </c>
      <c r="F84" s="125" t="str">
        <f>CHOOSE(MONTH(E84),"January","February","March","April","May","June","July","August","September","October","November","December")</f>
        <v>March</v>
      </c>
      <c r="G84" s="125">
        <f ca="1">DATEDIF(E84,TODAY(),"Y")</f>
        <v>24</v>
      </c>
      <c r="I84" s="220">
        <v>64460</v>
      </c>
      <c r="J84" s="219">
        <v>1</v>
      </c>
    </row>
    <row r="85" spans="1:10" x14ac:dyDescent="0.25">
      <c r="A85" s="222" t="s">
        <v>290</v>
      </c>
      <c r="B85" s="125" t="s">
        <v>280</v>
      </c>
      <c r="C85" s="125" t="s">
        <v>312</v>
      </c>
      <c r="D85" s="125" t="s">
        <v>247</v>
      </c>
      <c r="E85" s="221">
        <v>35119</v>
      </c>
      <c r="F85" s="125" t="str">
        <f>CHOOSE(MONTH(E85),"January","February","March","April","May","June","July","August","September","October","November","December")</f>
        <v>February</v>
      </c>
      <c r="G85" s="125">
        <f ca="1">DATEDIF(E85,TODAY(),"Y")</f>
        <v>20</v>
      </c>
      <c r="I85" s="220">
        <v>64390</v>
      </c>
      <c r="J85" s="219">
        <v>2</v>
      </c>
    </row>
    <row r="86" spans="1:10" x14ac:dyDescent="0.25">
      <c r="A86" s="222" t="s">
        <v>329</v>
      </c>
      <c r="B86" s="125" t="s">
        <v>245</v>
      </c>
      <c r="C86" s="125" t="s">
        <v>312</v>
      </c>
      <c r="D86" s="125" t="s">
        <v>247</v>
      </c>
      <c r="E86" s="221">
        <v>36470</v>
      </c>
      <c r="F86" s="125" t="str">
        <f>CHOOSE(MONTH(E86),"January","February","March","April","May","June","July","August","September","October","November","December")</f>
        <v>November</v>
      </c>
      <c r="G86" s="125">
        <f ca="1">DATEDIF(E86,TODAY(),"Y")</f>
        <v>17</v>
      </c>
      <c r="I86" s="220">
        <v>23560</v>
      </c>
      <c r="J86" s="219">
        <v>3</v>
      </c>
    </row>
    <row r="87" spans="1:10" x14ac:dyDescent="0.25">
      <c r="A87" s="222" t="s">
        <v>1023</v>
      </c>
      <c r="B87" s="125" t="s">
        <v>245</v>
      </c>
      <c r="C87" s="125" t="s">
        <v>312</v>
      </c>
      <c r="D87" s="125" t="s">
        <v>252</v>
      </c>
      <c r="E87" s="221">
        <v>36487</v>
      </c>
      <c r="F87" s="125" t="str">
        <f>CHOOSE(MONTH(E87),"January","February","March","April","May","June","July","August","September","October","November","December")</f>
        <v>November</v>
      </c>
      <c r="G87" s="125">
        <f ca="1">DATEDIF(E87,TODAY(),"Y")</f>
        <v>16</v>
      </c>
      <c r="I87" s="220">
        <v>33056</v>
      </c>
      <c r="J87" s="219">
        <v>5</v>
      </c>
    </row>
    <row r="88" spans="1:10" x14ac:dyDescent="0.25">
      <c r="A88" s="222" t="s">
        <v>636</v>
      </c>
      <c r="B88" s="125" t="s">
        <v>285</v>
      </c>
      <c r="C88" s="125" t="s">
        <v>312</v>
      </c>
      <c r="D88" s="125" t="s">
        <v>256</v>
      </c>
      <c r="E88" s="221">
        <v>33746</v>
      </c>
      <c r="F88" s="125" t="str">
        <f>CHOOSE(MONTH(E88),"January","February","March","April","May","June","July","August","September","October","November","December")</f>
        <v>May</v>
      </c>
      <c r="G88" s="125">
        <f ca="1">DATEDIF(E88,TODAY(),"Y")</f>
        <v>24</v>
      </c>
      <c r="H88" s="125" t="s">
        <v>262</v>
      </c>
      <c r="I88" s="220">
        <v>31830</v>
      </c>
      <c r="J88" s="219">
        <v>3</v>
      </c>
    </row>
    <row r="89" spans="1:10" x14ac:dyDescent="0.25">
      <c r="A89" s="222" t="s">
        <v>404</v>
      </c>
      <c r="B89" s="125" t="s">
        <v>271</v>
      </c>
      <c r="C89" s="125" t="s">
        <v>312</v>
      </c>
      <c r="D89" s="125" t="s">
        <v>247</v>
      </c>
      <c r="E89" s="221">
        <v>35902</v>
      </c>
      <c r="F89" s="125" t="str">
        <f>CHOOSE(MONTH(E89),"January","February","March","April","May","June","July","August","September","October","November","December")</f>
        <v>April</v>
      </c>
      <c r="G89" s="125">
        <f ca="1">DATEDIF(E89,TODAY(),"Y")</f>
        <v>18</v>
      </c>
      <c r="I89" s="220">
        <v>63340</v>
      </c>
      <c r="J89" s="219">
        <v>3</v>
      </c>
    </row>
    <row r="90" spans="1:10" x14ac:dyDescent="0.25">
      <c r="A90" s="222" t="s">
        <v>682</v>
      </c>
      <c r="B90" s="125" t="s">
        <v>271</v>
      </c>
      <c r="C90" s="125" t="s">
        <v>312</v>
      </c>
      <c r="D90" s="125" t="s">
        <v>256</v>
      </c>
      <c r="E90" s="221">
        <v>37176</v>
      </c>
      <c r="F90" s="125" t="str">
        <f>CHOOSE(MONTH(E90),"January","February","March","April","May","June","July","August","September","October","November","December")</f>
        <v>October</v>
      </c>
      <c r="G90" s="125">
        <f ca="1">DATEDIF(E90,TODAY(),"Y")</f>
        <v>15</v>
      </c>
      <c r="H90" s="125" t="s">
        <v>267</v>
      </c>
      <c r="I90" s="220">
        <v>62790</v>
      </c>
      <c r="J90" s="219">
        <v>2</v>
      </c>
    </row>
    <row r="91" spans="1:10" x14ac:dyDescent="0.25">
      <c r="A91" s="222" t="s">
        <v>371</v>
      </c>
      <c r="B91" s="125" t="s">
        <v>245</v>
      </c>
      <c r="C91" s="125" t="s">
        <v>312</v>
      </c>
      <c r="D91" s="125" t="s">
        <v>247</v>
      </c>
      <c r="E91" s="221">
        <v>39040</v>
      </c>
      <c r="F91" s="125" t="str">
        <f>CHOOSE(MONTH(E91),"January","February","March","April","May","June","July","August","September","October","November","December")</f>
        <v>November</v>
      </c>
      <c r="G91" s="125">
        <f ca="1">DATEDIF(E91,TODAY(),"Y")</f>
        <v>9</v>
      </c>
      <c r="I91" s="220">
        <v>62150</v>
      </c>
      <c r="J91" s="219">
        <v>4</v>
      </c>
    </row>
    <row r="92" spans="1:10" x14ac:dyDescent="0.25">
      <c r="A92" s="222" t="s">
        <v>611</v>
      </c>
      <c r="B92" s="125" t="s">
        <v>271</v>
      </c>
      <c r="C92" s="125" t="s">
        <v>312</v>
      </c>
      <c r="D92" s="125" t="s">
        <v>256</v>
      </c>
      <c r="E92" s="221">
        <v>40274</v>
      </c>
      <c r="F92" s="125" t="str">
        <f>CHOOSE(MONTH(E92),"January","February","March","April","May","June","July","August","September","October","November","December")</f>
        <v>April</v>
      </c>
      <c r="G92" s="125">
        <f ca="1">DATEDIF(E92,TODAY(),"Y")</f>
        <v>6</v>
      </c>
      <c r="H92" s="125" t="s">
        <v>262</v>
      </c>
      <c r="I92" s="220">
        <v>38730</v>
      </c>
      <c r="J92" s="219">
        <v>1</v>
      </c>
    </row>
    <row r="93" spans="1:10" x14ac:dyDescent="0.25">
      <c r="A93" s="222" t="s">
        <v>589</v>
      </c>
      <c r="B93" s="125" t="s">
        <v>271</v>
      </c>
      <c r="C93" s="125" t="s">
        <v>312</v>
      </c>
      <c r="D93" s="125" t="s">
        <v>256</v>
      </c>
      <c r="E93" s="221">
        <v>33575</v>
      </c>
      <c r="F93" s="125" t="str">
        <f>CHOOSE(MONTH(E93),"January","February","March","April","May","June","July","August","September","October","November","December")</f>
        <v>December</v>
      </c>
      <c r="G93" s="125">
        <f ca="1">DATEDIF(E93,TODAY(),"Y")</f>
        <v>24</v>
      </c>
      <c r="H93" s="125" t="s">
        <v>262</v>
      </c>
      <c r="I93" s="220">
        <v>61400</v>
      </c>
      <c r="J93" s="219">
        <v>5</v>
      </c>
    </row>
    <row r="94" spans="1:10" x14ac:dyDescent="0.25">
      <c r="A94" s="222" t="s">
        <v>729</v>
      </c>
      <c r="B94" s="125" t="s">
        <v>285</v>
      </c>
      <c r="C94" s="125" t="s">
        <v>312</v>
      </c>
      <c r="D94" s="125" t="s">
        <v>256</v>
      </c>
      <c r="E94" s="221">
        <v>35829</v>
      </c>
      <c r="F94" s="125" t="str">
        <f>CHOOSE(MONTH(E94),"January","February","March","April","May","June","July","August","September","October","November","December")</f>
        <v>February</v>
      </c>
      <c r="G94" s="125">
        <f ca="1">DATEDIF(E94,TODAY(),"Y")</f>
        <v>18</v>
      </c>
      <c r="H94" s="125" t="s">
        <v>257</v>
      </c>
      <c r="I94" s="220">
        <v>61030</v>
      </c>
      <c r="J94" s="219">
        <v>3</v>
      </c>
    </row>
    <row r="95" spans="1:10" x14ac:dyDescent="0.25">
      <c r="A95" s="222" t="s">
        <v>311</v>
      </c>
      <c r="B95" s="125" t="s">
        <v>245</v>
      </c>
      <c r="C95" s="125" t="s">
        <v>312</v>
      </c>
      <c r="D95" s="125" t="s">
        <v>252</v>
      </c>
      <c r="E95" s="221">
        <v>36059</v>
      </c>
      <c r="F95" s="125" t="str">
        <f>CHOOSE(MONTH(E95),"January","February","March","April","May","June","July","August","September","October","November","December")</f>
        <v>September</v>
      </c>
      <c r="G95" s="125">
        <f ca="1">DATEDIF(E95,TODAY(),"Y")</f>
        <v>18</v>
      </c>
      <c r="I95" s="220">
        <v>18500</v>
      </c>
      <c r="J95" s="219">
        <v>5</v>
      </c>
    </row>
    <row r="96" spans="1:10" x14ac:dyDescent="0.25">
      <c r="A96" s="222" t="s">
        <v>781</v>
      </c>
      <c r="B96" s="125" t="s">
        <v>285</v>
      </c>
      <c r="C96" s="125" t="s">
        <v>312</v>
      </c>
      <c r="D96" s="125" t="s">
        <v>261</v>
      </c>
      <c r="E96" s="221">
        <v>33472</v>
      </c>
      <c r="F96" s="125" t="str">
        <f>CHOOSE(MONTH(E96),"January","February","March","April","May","June","July","August","September","October","November","December")</f>
        <v>August</v>
      </c>
      <c r="G96" s="125">
        <f ca="1">DATEDIF(E96,TODAY(),"Y")</f>
        <v>25</v>
      </c>
      <c r="H96" s="125" t="s">
        <v>262</v>
      </c>
      <c r="I96" s="220">
        <v>13800</v>
      </c>
      <c r="J96" s="219">
        <v>3</v>
      </c>
    </row>
    <row r="97" spans="1:10" x14ac:dyDescent="0.25">
      <c r="A97" s="222" t="s">
        <v>839</v>
      </c>
      <c r="B97" s="125" t="s">
        <v>245</v>
      </c>
      <c r="C97" s="125" t="s">
        <v>312</v>
      </c>
      <c r="D97" s="125" t="s">
        <v>256</v>
      </c>
      <c r="E97" s="221">
        <v>40292</v>
      </c>
      <c r="F97" s="125" t="str">
        <f>CHOOSE(MONTH(E97),"January","February","March","April","May","June","July","August","September","October","November","December")</f>
        <v>April</v>
      </c>
      <c r="G97" s="125">
        <f ca="1">DATEDIF(E97,TODAY(),"Y")</f>
        <v>6</v>
      </c>
      <c r="H97" s="125" t="s">
        <v>257</v>
      </c>
      <c r="I97" s="220">
        <v>23280</v>
      </c>
      <c r="J97" s="219">
        <v>1</v>
      </c>
    </row>
    <row r="98" spans="1:10" x14ac:dyDescent="0.25">
      <c r="A98" s="222" t="s">
        <v>716</v>
      </c>
      <c r="B98" s="125" t="s">
        <v>271</v>
      </c>
      <c r="C98" s="125" t="s">
        <v>312</v>
      </c>
      <c r="D98" s="125" t="s">
        <v>256</v>
      </c>
      <c r="E98" s="221">
        <v>34832</v>
      </c>
      <c r="F98" s="125" t="str">
        <f>CHOOSE(MONTH(E98),"January","February","March","April","May","June","July","August","September","October","November","December")</f>
        <v>May</v>
      </c>
      <c r="G98" s="125">
        <f ca="1">DATEDIF(E98,TODAY(),"Y")</f>
        <v>21</v>
      </c>
      <c r="H98" s="125" t="s">
        <v>257</v>
      </c>
      <c r="I98" s="220">
        <v>31910</v>
      </c>
      <c r="J98" s="219">
        <v>5</v>
      </c>
    </row>
    <row r="99" spans="1:10" x14ac:dyDescent="0.25">
      <c r="A99" s="222" t="s">
        <v>319</v>
      </c>
      <c r="B99" s="125" t="s">
        <v>285</v>
      </c>
      <c r="C99" s="125" t="s">
        <v>312</v>
      </c>
      <c r="D99" s="125" t="s">
        <v>247</v>
      </c>
      <c r="E99" s="221">
        <v>34651</v>
      </c>
      <c r="F99" s="125" t="str">
        <f>CHOOSE(MONTH(E99),"January","February","March","April","May","June","July","August","September","October","November","December")</f>
        <v>November</v>
      </c>
      <c r="G99" s="125">
        <f ca="1">DATEDIF(E99,TODAY(),"Y")</f>
        <v>21</v>
      </c>
      <c r="I99" s="220">
        <v>46670</v>
      </c>
      <c r="J99" s="219">
        <v>3</v>
      </c>
    </row>
    <row r="100" spans="1:10" x14ac:dyDescent="0.25">
      <c r="A100" s="222" t="s">
        <v>619</v>
      </c>
      <c r="B100" s="125" t="s">
        <v>245</v>
      </c>
      <c r="C100" s="125" t="s">
        <v>312</v>
      </c>
      <c r="D100" s="125" t="s">
        <v>247</v>
      </c>
      <c r="E100" s="221">
        <v>35160</v>
      </c>
      <c r="F100" s="125" t="str">
        <f>CHOOSE(MONTH(E100),"January","February","March","April","May","June","July","August","September","October","November","December")</f>
        <v>April</v>
      </c>
      <c r="G100" s="125">
        <f ca="1">DATEDIF(E100,TODAY(),"Y")</f>
        <v>20</v>
      </c>
      <c r="I100" s="220">
        <v>50550</v>
      </c>
      <c r="J100" s="219">
        <v>2</v>
      </c>
    </row>
    <row r="101" spans="1:10" x14ac:dyDescent="0.25">
      <c r="A101" s="222" t="s">
        <v>802</v>
      </c>
      <c r="B101" s="125" t="s">
        <v>266</v>
      </c>
      <c r="C101" s="125" t="s">
        <v>312</v>
      </c>
      <c r="D101" s="125" t="s">
        <v>261</v>
      </c>
      <c r="E101" s="221">
        <v>39802</v>
      </c>
      <c r="F101" s="125" t="str">
        <f>CHOOSE(MONTH(E101),"January","February","March","April","May","June","July","August","September","October","November","December")</f>
        <v>December</v>
      </c>
      <c r="G101" s="125">
        <f ca="1">DATEDIF(E101,TODAY(),"Y")</f>
        <v>7</v>
      </c>
      <c r="H101" s="125" t="s">
        <v>276</v>
      </c>
      <c r="I101" s="220">
        <v>22535</v>
      </c>
      <c r="J101" s="219">
        <v>3</v>
      </c>
    </row>
    <row r="102" spans="1:10" x14ac:dyDescent="0.25">
      <c r="A102" s="223" t="s">
        <v>372</v>
      </c>
    </row>
    <row r="103" spans="1:10" x14ac:dyDescent="0.25">
      <c r="A103" s="222" t="s">
        <v>429</v>
      </c>
      <c r="B103" s="125" t="s">
        <v>285</v>
      </c>
      <c r="C103" s="125" t="s">
        <v>372</v>
      </c>
      <c r="D103" s="125" t="s">
        <v>256</v>
      </c>
      <c r="E103" s="221">
        <v>37883</v>
      </c>
      <c r="F103" s="125" t="str">
        <f>CHOOSE(MONTH(E103),"January","February","March","April","May","June","July","August","September","October","November","December")</f>
        <v>September</v>
      </c>
      <c r="G103" s="125">
        <f ca="1">DATEDIF(E103,TODAY(),"Y")</f>
        <v>13</v>
      </c>
      <c r="H103" s="125" t="s">
        <v>257</v>
      </c>
      <c r="I103" s="220">
        <v>86530</v>
      </c>
      <c r="J103" s="219">
        <v>1</v>
      </c>
    </row>
    <row r="104" spans="1:10" x14ac:dyDescent="0.25">
      <c r="A104" s="222" t="s">
        <v>563</v>
      </c>
      <c r="B104" s="125" t="s">
        <v>271</v>
      </c>
      <c r="C104" s="125" t="s">
        <v>372</v>
      </c>
      <c r="D104" s="125" t="s">
        <v>256</v>
      </c>
      <c r="E104" s="221">
        <v>38397</v>
      </c>
      <c r="F104" s="125" t="str">
        <f>CHOOSE(MONTH(E104),"January","February","March","April","May","June","July","August","September","October","November","December")</f>
        <v>February</v>
      </c>
      <c r="G104" s="125">
        <f ca="1">DATEDIF(E104,TODAY(),"Y")</f>
        <v>11</v>
      </c>
      <c r="H104" s="125" t="s">
        <v>257</v>
      </c>
      <c r="I104" s="220">
        <v>36630</v>
      </c>
      <c r="J104" s="219">
        <v>4</v>
      </c>
    </row>
    <row r="105" spans="1:10" x14ac:dyDescent="0.25">
      <c r="A105" s="222" t="s">
        <v>817</v>
      </c>
      <c r="B105" s="125" t="s">
        <v>285</v>
      </c>
      <c r="C105" s="125" t="s">
        <v>372</v>
      </c>
      <c r="D105" s="125" t="s">
        <v>247</v>
      </c>
      <c r="E105" s="221">
        <v>38755</v>
      </c>
      <c r="F105" s="125" t="str">
        <f>CHOOSE(MONTH(E105),"January","February","March","April","May","June","July","August","September","October","November","December")</f>
        <v>February</v>
      </c>
      <c r="G105" s="125">
        <f ca="1">DATEDIF(E105,TODAY(),"Y")</f>
        <v>10</v>
      </c>
      <c r="I105" s="220">
        <v>78860</v>
      </c>
      <c r="J105" s="219">
        <v>2</v>
      </c>
    </row>
    <row r="106" spans="1:10" x14ac:dyDescent="0.25">
      <c r="A106" s="222" t="s">
        <v>718</v>
      </c>
      <c r="B106" s="125" t="s">
        <v>285</v>
      </c>
      <c r="C106" s="125" t="s">
        <v>372</v>
      </c>
      <c r="D106" s="125" t="s">
        <v>256</v>
      </c>
      <c r="E106" s="221">
        <v>39923</v>
      </c>
      <c r="F106" s="125" t="str">
        <f>CHOOSE(MONTH(E106),"January","February","March","April","May","June","July","August","September","October","November","December")</f>
        <v>April</v>
      </c>
      <c r="G106" s="125">
        <f ca="1">DATEDIF(E106,TODAY(),"Y")</f>
        <v>7</v>
      </c>
      <c r="H106" s="125" t="s">
        <v>257</v>
      </c>
      <c r="I106" s="220">
        <v>76440</v>
      </c>
      <c r="J106" s="219">
        <v>3</v>
      </c>
    </row>
    <row r="107" spans="1:10" x14ac:dyDescent="0.25">
      <c r="A107" s="222" t="s">
        <v>388</v>
      </c>
      <c r="B107" s="125" t="s">
        <v>251</v>
      </c>
      <c r="C107" s="125" t="s">
        <v>372</v>
      </c>
      <c r="D107" s="125" t="s">
        <v>261</v>
      </c>
      <c r="E107" s="221">
        <v>40505</v>
      </c>
      <c r="F107" s="125" t="str">
        <f>CHOOSE(MONTH(E107),"January","February","March","April","May","June","July","August","September","October","November","December")</f>
        <v>November</v>
      </c>
      <c r="G107" s="125">
        <f ca="1">DATEDIF(E107,TODAY(),"Y")</f>
        <v>5</v>
      </c>
      <c r="H107" s="125" t="s">
        <v>283</v>
      </c>
      <c r="I107" s="220">
        <v>46230</v>
      </c>
      <c r="J107" s="219">
        <v>2</v>
      </c>
    </row>
    <row r="108" spans="1:10" x14ac:dyDescent="0.25">
      <c r="A108" s="222" t="s">
        <v>448</v>
      </c>
      <c r="B108" s="125" t="s">
        <v>271</v>
      </c>
      <c r="C108" s="125" t="s">
        <v>372</v>
      </c>
      <c r="D108" s="125" t="s">
        <v>247</v>
      </c>
      <c r="E108" s="221">
        <v>39529</v>
      </c>
      <c r="F108" s="125" t="str">
        <f>CHOOSE(MONTH(E108),"January","February","March","April","May","June","July","August","September","October","November","December")</f>
        <v>March</v>
      </c>
      <c r="G108" s="125">
        <f ca="1">DATEDIF(E108,TODAY(),"Y")</f>
        <v>8</v>
      </c>
      <c r="I108" s="220">
        <v>35620</v>
      </c>
      <c r="J108" s="219">
        <v>4</v>
      </c>
    </row>
    <row r="109" spans="1:10" x14ac:dyDescent="0.25">
      <c r="A109" s="222" t="s">
        <v>591</v>
      </c>
      <c r="B109" s="125" t="s">
        <v>280</v>
      </c>
      <c r="C109" s="125" t="s">
        <v>372</v>
      </c>
      <c r="D109" s="125" t="s">
        <v>256</v>
      </c>
      <c r="E109" s="221">
        <v>39388</v>
      </c>
      <c r="F109" s="125" t="str">
        <f>CHOOSE(MONTH(E109),"January","February","March","April","May","June","July","August","September","October","November","December")</f>
        <v>November</v>
      </c>
      <c r="G109" s="125">
        <f ca="1">DATEDIF(E109,TODAY(),"Y")</f>
        <v>9</v>
      </c>
      <c r="H109" s="125" t="s">
        <v>257</v>
      </c>
      <c r="I109" s="220">
        <v>71120</v>
      </c>
      <c r="J109" s="219">
        <v>4</v>
      </c>
    </row>
    <row r="110" spans="1:10" x14ac:dyDescent="0.25">
      <c r="A110" s="222" t="s">
        <v>932</v>
      </c>
      <c r="B110" s="125" t="s">
        <v>285</v>
      </c>
      <c r="C110" s="125" t="s">
        <v>372</v>
      </c>
      <c r="D110" s="125" t="s">
        <v>247</v>
      </c>
      <c r="E110" s="221">
        <v>40253</v>
      </c>
      <c r="F110" s="125" t="str">
        <f>CHOOSE(MONTH(E110),"January","February","March","April","May","June","July","August","September","October","November","December")</f>
        <v>March</v>
      </c>
      <c r="G110" s="125">
        <f ca="1">DATEDIF(E110,TODAY(),"Y")</f>
        <v>6</v>
      </c>
      <c r="I110" s="220">
        <v>59350</v>
      </c>
      <c r="J110" s="219">
        <v>5</v>
      </c>
    </row>
    <row r="111" spans="1:10" x14ac:dyDescent="0.25">
      <c r="A111" s="223" t="s">
        <v>381</v>
      </c>
    </row>
    <row r="112" spans="1:10" x14ac:dyDescent="0.25">
      <c r="A112" s="222" t="s">
        <v>625</v>
      </c>
      <c r="B112" s="125" t="s">
        <v>271</v>
      </c>
      <c r="C112" s="125" t="s">
        <v>381</v>
      </c>
      <c r="D112" s="125" t="s">
        <v>261</v>
      </c>
      <c r="E112" s="221">
        <v>40516</v>
      </c>
      <c r="F112" s="125" t="str">
        <f>CHOOSE(MONTH(E112),"January","February","March","April","May","June","July","August","September","October","November","December")</f>
        <v>December</v>
      </c>
      <c r="G112" s="125">
        <f ca="1">DATEDIF(E112,TODAY(),"Y")</f>
        <v>5</v>
      </c>
      <c r="H112" s="125" t="s">
        <v>283</v>
      </c>
      <c r="I112" s="220">
        <v>28625</v>
      </c>
      <c r="J112" s="219">
        <v>1</v>
      </c>
    </row>
    <row r="113" spans="1:10" x14ac:dyDescent="0.25">
      <c r="A113" s="222" t="s">
        <v>504</v>
      </c>
      <c r="B113" s="125" t="s">
        <v>271</v>
      </c>
      <c r="C113" s="125" t="s">
        <v>381</v>
      </c>
      <c r="D113" s="125" t="s">
        <v>256</v>
      </c>
      <c r="E113" s="221">
        <v>36249</v>
      </c>
      <c r="F113" s="125" t="str">
        <f>CHOOSE(MONTH(E113),"January","February","March","April","May","June","July","August","September","October","November","December")</f>
        <v>March</v>
      </c>
      <c r="G113" s="125">
        <f ca="1">DATEDIF(E113,TODAY(),"Y")</f>
        <v>17</v>
      </c>
      <c r="H113" s="125" t="s">
        <v>257</v>
      </c>
      <c r="I113" s="220">
        <v>49860</v>
      </c>
      <c r="J113" s="219">
        <v>2</v>
      </c>
    </row>
    <row r="114" spans="1:10" x14ac:dyDescent="0.25">
      <c r="A114" s="222" t="s">
        <v>650</v>
      </c>
      <c r="B114" s="125" t="s">
        <v>285</v>
      </c>
      <c r="C114" s="125" t="s">
        <v>381</v>
      </c>
      <c r="D114" s="125" t="s">
        <v>256</v>
      </c>
      <c r="E114" s="221">
        <v>33071</v>
      </c>
      <c r="F114" s="125" t="str">
        <f>CHOOSE(MONTH(E114),"January","February","March","April","May","June","July","August","September","October","November","December")</f>
        <v>July</v>
      </c>
      <c r="G114" s="125">
        <f ca="1">DATEDIF(E114,TODAY(),"Y")</f>
        <v>26</v>
      </c>
      <c r="H114" s="125" t="s">
        <v>283</v>
      </c>
      <c r="I114" s="220">
        <v>69060</v>
      </c>
      <c r="J114" s="219">
        <v>1</v>
      </c>
    </row>
    <row r="115" spans="1:10" x14ac:dyDescent="0.25">
      <c r="A115" s="222" t="s">
        <v>436</v>
      </c>
      <c r="B115" s="125" t="s">
        <v>280</v>
      </c>
      <c r="C115" s="125" t="s">
        <v>381</v>
      </c>
      <c r="D115" s="125" t="s">
        <v>256</v>
      </c>
      <c r="E115" s="221">
        <v>36182</v>
      </c>
      <c r="F115" s="125" t="str">
        <f>CHOOSE(MONTH(E115),"January","February","March","April","May","June","July","August","September","October","November","December")</f>
        <v>January</v>
      </c>
      <c r="G115" s="125">
        <f ca="1">DATEDIF(E115,TODAY(),"Y")</f>
        <v>17</v>
      </c>
      <c r="H115" s="125" t="s">
        <v>283</v>
      </c>
      <c r="I115" s="220">
        <v>68300</v>
      </c>
      <c r="J115" s="219">
        <v>5</v>
      </c>
    </row>
    <row r="116" spans="1:10" x14ac:dyDescent="0.25">
      <c r="A116" s="222" t="s">
        <v>924</v>
      </c>
      <c r="B116" s="125" t="s">
        <v>266</v>
      </c>
      <c r="C116" s="125" t="s">
        <v>381</v>
      </c>
      <c r="D116" s="125" t="s">
        <v>256</v>
      </c>
      <c r="E116" s="221">
        <v>35514</v>
      </c>
      <c r="F116" s="125" t="str">
        <f>CHOOSE(MONTH(E116),"January","February","March","April","May","June","July","August","September","October","November","December")</f>
        <v>March</v>
      </c>
      <c r="G116" s="125">
        <f ca="1">DATEDIF(E116,TODAY(),"Y")</f>
        <v>19</v>
      </c>
      <c r="H116" s="125" t="s">
        <v>267</v>
      </c>
      <c r="I116" s="220">
        <v>26510</v>
      </c>
      <c r="J116" s="219">
        <v>1</v>
      </c>
    </row>
    <row r="117" spans="1:10" x14ac:dyDescent="0.25">
      <c r="A117" s="222" t="s">
        <v>572</v>
      </c>
      <c r="B117" s="125" t="s">
        <v>285</v>
      </c>
      <c r="C117" s="125" t="s">
        <v>381</v>
      </c>
      <c r="D117" s="125" t="s">
        <v>256</v>
      </c>
      <c r="E117" s="221">
        <v>39147</v>
      </c>
      <c r="F117" s="125" t="str">
        <f>CHOOSE(MONTH(E117),"January","February","March","April","May","June","July","August","September","October","November","December")</f>
        <v>March</v>
      </c>
      <c r="G117" s="125">
        <f ca="1">DATEDIF(E117,TODAY(),"Y")</f>
        <v>9</v>
      </c>
      <c r="H117" s="125" t="s">
        <v>283</v>
      </c>
      <c r="I117" s="220">
        <v>43680</v>
      </c>
      <c r="J117" s="219">
        <v>5</v>
      </c>
    </row>
    <row r="118" spans="1:10" x14ac:dyDescent="0.25">
      <c r="A118" s="222" t="s">
        <v>808</v>
      </c>
      <c r="B118" s="125" t="s">
        <v>271</v>
      </c>
      <c r="C118" s="125" t="s">
        <v>381</v>
      </c>
      <c r="D118" s="125" t="s">
        <v>256</v>
      </c>
      <c r="E118" s="221">
        <v>35449</v>
      </c>
      <c r="F118" s="125" t="str">
        <f>CHOOSE(MONTH(E118),"January","February","March","April","May","June","July","August","September","October","November","December")</f>
        <v>January</v>
      </c>
      <c r="G118" s="125">
        <f ca="1">DATEDIF(E118,TODAY(),"Y")</f>
        <v>19</v>
      </c>
      <c r="H118" s="125" t="s">
        <v>283</v>
      </c>
      <c r="I118" s="220">
        <v>22920</v>
      </c>
      <c r="J118" s="219">
        <v>3</v>
      </c>
    </row>
    <row r="119" spans="1:10" x14ac:dyDescent="0.25">
      <c r="A119" s="222" t="s">
        <v>370</v>
      </c>
      <c r="B119" s="125" t="s">
        <v>271</v>
      </c>
      <c r="C119" s="125" t="s">
        <v>381</v>
      </c>
      <c r="D119" s="125" t="s">
        <v>252</v>
      </c>
      <c r="E119" s="221">
        <v>40313</v>
      </c>
      <c r="F119" s="125" t="str">
        <f>CHOOSE(MONTH(E119),"January","February","March","April","May","June","July","August","September","October","November","December")</f>
        <v>May</v>
      </c>
      <c r="G119" s="125">
        <f ca="1">DATEDIF(E119,TODAY(),"Y")</f>
        <v>6</v>
      </c>
      <c r="I119" s="220">
        <v>27484</v>
      </c>
      <c r="J119" s="219">
        <v>4</v>
      </c>
    </row>
    <row r="120" spans="1:10" x14ac:dyDescent="0.25">
      <c r="A120" s="222" t="s">
        <v>927</v>
      </c>
      <c r="B120" s="125" t="s">
        <v>285</v>
      </c>
      <c r="C120" s="125" t="s">
        <v>381</v>
      </c>
      <c r="D120" s="125" t="s">
        <v>261</v>
      </c>
      <c r="E120" s="221">
        <v>40572</v>
      </c>
      <c r="F120" s="125" t="str">
        <f>CHOOSE(MONTH(E120),"January","February","March","April","May","June","July","August","September","October","November","December")</f>
        <v>January</v>
      </c>
      <c r="G120" s="125">
        <f ca="1">DATEDIF(E120,TODAY(),"Y")</f>
        <v>5</v>
      </c>
      <c r="H120" s="125" t="s">
        <v>283</v>
      </c>
      <c r="I120" s="220">
        <v>10520</v>
      </c>
      <c r="J120" s="219">
        <v>4</v>
      </c>
    </row>
    <row r="121" spans="1:10" x14ac:dyDescent="0.25">
      <c r="A121" s="223" t="s">
        <v>391</v>
      </c>
    </row>
    <row r="122" spans="1:10" x14ac:dyDescent="0.25">
      <c r="A122" s="222" t="s">
        <v>314</v>
      </c>
      <c r="B122" s="125" t="s">
        <v>266</v>
      </c>
      <c r="C122" s="125" t="s">
        <v>391</v>
      </c>
      <c r="D122" s="125" t="s">
        <v>247</v>
      </c>
      <c r="E122" s="221">
        <v>36342</v>
      </c>
      <c r="F122" s="125" t="str">
        <f>CHOOSE(MONTH(E122),"January","February","March","April","May","June","July","August","September","October","November","December")</f>
        <v>July</v>
      </c>
      <c r="G122" s="125">
        <f ca="1">DATEDIF(E122,TODAY(),"Y")</f>
        <v>17</v>
      </c>
      <c r="I122" s="220">
        <v>86970</v>
      </c>
      <c r="J122" s="219">
        <v>4</v>
      </c>
    </row>
    <row r="123" spans="1:10" x14ac:dyDescent="0.25">
      <c r="A123" s="222" t="s">
        <v>344</v>
      </c>
      <c r="B123" s="125" t="s">
        <v>245</v>
      </c>
      <c r="C123" s="125" t="s">
        <v>391</v>
      </c>
      <c r="D123" s="125" t="s">
        <v>256</v>
      </c>
      <c r="E123" s="221">
        <v>33447</v>
      </c>
      <c r="F123" s="125" t="str">
        <f>CHOOSE(MONTH(E123),"January","February","March","April","May","June","July","August","September","October","November","December")</f>
        <v>July</v>
      </c>
      <c r="G123" s="125">
        <f ca="1">DATEDIF(E123,TODAY(),"Y")</f>
        <v>25</v>
      </c>
      <c r="H123" s="125" t="s">
        <v>283</v>
      </c>
      <c r="I123" s="220">
        <v>37620</v>
      </c>
      <c r="J123" s="219">
        <v>5</v>
      </c>
    </row>
    <row r="124" spans="1:10" x14ac:dyDescent="0.25">
      <c r="A124" s="222" t="s">
        <v>936</v>
      </c>
      <c r="B124" s="125" t="s">
        <v>271</v>
      </c>
      <c r="C124" s="125" t="s">
        <v>391</v>
      </c>
      <c r="D124" s="125" t="s">
        <v>261</v>
      </c>
      <c r="E124" s="221">
        <v>36357</v>
      </c>
      <c r="F124" s="125" t="str">
        <f>CHOOSE(MONTH(E124),"January","February","March","April","May","June","July","August","September","October","November","December")</f>
        <v>July</v>
      </c>
      <c r="G124" s="125">
        <f ca="1">DATEDIF(E124,TODAY(),"Y")</f>
        <v>17</v>
      </c>
      <c r="H124" s="125" t="s">
        <v>276</v>
      </c>
      <c r="I124" s="220">
        <v>42905</v>
      </c>
      <c r="J124" s="219">
        <v>1</v>
      </c>
    </row>
    <row r="125" spans="1:10" x14ac:dyDescent="0.25">
      <c r="A125" s="222" t="s">
        <v>895</v>
      </c>
      <c r="B125" s="125" t="s">
        <v>285</v>
      </c>
      <c r="C125" s="125" t="s">
        <v>391</v>
      </c>
      <c r="D125" s="125" t="s">
        <v>256</v>
      </c>
      <c r="E125" s="221">
        <v>33823</v>
      </c>
      <c r="F125" s="125" t="str">
        <f>CHOOSE(MONTH(E125),"January","February","March","April","May","June","July","August","September","October","November","December")</f>
        <v>August</v>
      </c>
      <c r="G125" s="125">
        <f ca="1">DATEDIF(E125,TODAY(),"Y")</f>
        <v>24</v>
      </c>
      <c r="H125" s="125" t="s">
        <v>283</v>
      </c>
      <c r="I125" s="220">
        <v>82760</v>
      </c>
      <c r="J125" s="219">
        <v>4</v>
      </c>
    </row>
    <row r="126" spans="1:10" x14ac:dyDescent="0.25">
      <c r="A126" s="222" t="s">
        <v>579</v>
      </c>
      <c r="B126" s="125" t="s">
        <v>271</v>
      </c>
      <c r="C126" s="125" t="s">
        <v>391</v>
      </c>
      <c r="D126" s="125" t="s">
        <v>256</v>
      </c>
      <c r="E126" s="221">
        <v>33613</v>
      </c>
      <c r="F126" s="125" t="str">
        <f>CHOOSE(MONTH(E126),"January","February","March","April","May","June","July","August","September","October","November","December")</f>
        <v>January</v>
      </c>
      <c r="G126" s="125">
        <f ca="1">DATEDIF(E126,TODAY(),"Y")</f>
        <v>24</v>
      </c>
      <c r="H126" s="125" t="s">
        <v>267</v>
      </c>
      <c r="I126" s="220">
        <v>82500</v>
      </c>
      <c r="J126" s="219">
        <v>5</v>
      </c>
    </row>
    <row r="127" spans="1:10" x14ac:dyDescent="0.25">
      <c r="A127" s="222" t="s">
        <v>805</v>
      </c>
      <c r="B127" s="125" t="s">
        <v>266</v>
      </c>
      <c r="C127" s="125" t="s">
        <v>391</v>
      </c>
      <c r="D127" s="125" t="s">
        <v>256</v>
      </c>
      <c r="E127" s="221">
        <v>35487</v>
      </c>
      <c r="F127" s="125" t="str">
        <f>CHOOSE(MONTH(E127),"January","February","March","April","May","June","July","August","September","October","November","December")</f>
        <v>February</v>
      </c>
      <c r="G127" s="125">
        <f ca="1">DATEDIF(E127,TODAY(),"Y")</f>
        <v>19</v>
      </c>
      <c r="H127" s="125" t="s">
        <v>257</v>
      </c>
      <c r="I127" s="220">
        <v>80120</v>
      </c>
      <c r="J127" s="219">
        <v>4</v>
      </c>
    </row>
    <row r="128" spans="1:10" x14ac:dyDescent="0.25">
      <c r="A128" s="222" t="s">
        <v>975</v>
      </c>
      <c r="B128" s="125" t="s">
        <v>251</v>
      </c>
      <c r="C128" s="125" t="s">
        <v>391</v>
      </c>
      <c r="D128" s="125" t="s">
        <v>247</v>
      </c>
      <c r="E128" s="221">
        <v>33245</v>
      </c>
      <c r="F128" s="125" t="str">
        <f>CHOOSE(MONTH(E128),"January","February","March","April","May","June","July","August","September","October","November","December")</f>
        <v>January</v>
      </c>
      <c r="G128" s="125">
        <f ca="1">DATEDIF(E128,TODAY(),"Y")</f>
        <v>25</v>
      </c>
      <c r="I128" s="220">
        <v>80050</v>
      </c>
      <c r="J128" s="219">
        <v>2</v>
      </c>
    </row>
    <row r="129" spans="1:10" x14ac:dyDescent="0.25">
      <c r="A129" s="222" t="s">
        <v>484</v>
      </c>
      <c r="B129" s="125" t="s">
        <v>271</v>
      </c>
      <c r="C129" s="125" t="s">
        <v>391</v>
      </c>
      <c r="D129" s="125" t="s">
        <v>256</v>
      </c>
      <c r="E129" s="221">
        <v>36077</v>
      </c>
      <c r="F129" s="125" t="str">
        <f>CHOOSE(MONTH(E129),"January","February","March","April","May","June","July","August","September","October","November","December")</f>
        <v>October</v>
      </c>
      <c r="G129" s="125">
        <f ca="1">DATEDIF(E129,TODAY(),"Y")</f>
        <v>18</v>
      </c>
      <c r="H129" s="125" t="s">
        <v>283</v>
      </c>
      <c r="I129" s="220">
        <v>50110</v>
      </c>
      <c r="J129" s="219">
        <v>1</v>
      </c>
    </row>
    <row r="130" spans="1:10" x14ac:dyDescent="0.25">
      <c r="A130" s="222" t="s">
        <v>458</v>
      </c>
      <c r="B130" s="125" t="s">
        <v>285</v>
      </c>
      <c r="C130" s="125" t="s">
        <v>391</v>
      </c>
      <c r="D130" s="125" t="s">
        <v>252</v>
      </c>
      <c r="E130" s="221">
        <v>35673</v>
      </c>
      <c r="F130" s="125" t="str">
        <f>CHOOSE(MONTH(E130),"January","February","March","April","May","June","July","August","September","October","November","December")</f>
        <v>August</v>
      </c>
      <c r="G130" s="125">
        <f ca="1">DATEDIF(E130,TODAY(),"Y")</f>
        <v>19</v>
      </c>
      <c r="I130" s="220">
        <v>12676</v>
      </c>
      <c r="J130" s="219">
        <v>2</v>
      </c>
    </row>
    <row r="131" spans="1:10" x14ac:dyDescent="0.25">
      <c r="A131" s="222" t="s">
        <v>1002</v>
      </c>
      <c r="B131" s="125" t="s">
        <v>271</v>
      </c>
      <c r="C131" s="125" t="s">
        <v>391</v>
      </c>
      <c r="D131" s="125" t="s">
        <v>247</v>
      </c>
      <c r="E131" s="221">
        <v>35737</v>
      </c>
      <c r="F131" s="125" t="str">
        <f>CHOOSE(MONTH(E131),"January","February","March","April","May","June","July","August","September","October","November","December")</f>
        <v>November</v>
      </c>
      <c r="G131" s="125">
        <f ca="1">DATEDIF(E131,TODAY(),"Y")</f>
        <v>19</v>
      </c>
      <c r="I131" s="220">
        <v>76020</v>
      </c>
      <c r="J131" s="219">
        <v>1</v>
      </c>
    </row>
    <row r="132" spans="1:10" x14ac:dyDescent="0.25">
      <c r="A132" s="222" t="s">
        <v>871</v>
      </c>
      <c r="B132" s="125" t="s">
        <v>266</v>
      </c>
      <c r="C132" s="125" t="s">
        <v>391</v>
      </c>
      <c r="D132" s="125" t="s">
        <v>256</v>
      </c>
      <c r="E132" s="221">
        <v>37612</v>
      </c>
      <c r="F132" s="125" t="str">
        <f>CHOOSE(MONTH(E132),"January","February","March","April","May","June","July","August","September","October","November","December")</f>
        <v>December</v>
      </c>
      <c r="G132" s="125">
        <f ca="1">DATEDIF(E132,TODAY(),"Y")</f>
        <v>13</v>
      </c>
      <c r="H132" s="125" t="s">
        <v>267</v>
      </c>
      <c r="I132" s="220">
        <v>39740</v>
      </c>
      <c r="J132" s="219">
        <v>1</v>
      </c>
    </row>
    <row r="133" spans="1:10" x14ac:dyDescent="0.25">
      <c r="A133" s="222" t="s">
        <v>375</v>
      </c>
      <c r="B133" s="125" t="s">
        <v>251</v>
      </c>
      <c r="C133" s="125" t="s">
        <v>391</v>
      </c>
      <c r="D133" s="125" t="s">
        <v>247</v>
      </c>
      <c r="E133" s="221">
        <v>36176</v>
      </c>
      <c r="F133" s="125" t="str">
        <f>CHOOSE(MONTH(E133),"January","February","March","April","May","June","July","August","September","October","November","December")</f>
        <v>January</v>
      </c>
      <c r="G133" s="125">
        <f ca="1">DATEDIF(E133,TODAY(),"Y")</f>
        <v>17</v>
      </c>
      <c r="I133" s="220">
        <v>32940</v>
      </c>
      <c r="J133" s="219">
        <v>5</v>
      </c>
    </row>
    <row r="134" spans="1:10" x14ac:dyDescent="0.25">
      <c r="A134" s="222" t="s">
        <v>539</v>
      </c>
      <c r="B134" s="125" t="s">
        <v>280</v>
      </c>
      <c r="C134" s="125" t="s">
        <v>391</v>
      </c>
      <c r="D134" s="125" t="s">
        <v>247</v>
      </c>
      <c r="E134" s="221">
        <v>37667</v>
      </c>
      <c r="F134" s="125" t="str">
        <f>CHOOSE(MONTH(E134),"January","February","March","April","May","June","July","August","September","October","November","December")</f>
        <v>February</v>
      </c>
      <c r="G134" s="125">
        <f ca="1">DATEDIF(E134,TODAY(),"Y")</f>
        <v>13</v>
      </c>
      <c r="I134" s="220">
        <v>73390</v>
      </c>
      <c r="J134" s="219">
        <v>2</v>
      </c>
    </row>
    <row r="135" spans="1:10" x14ac:dyDescent="0.25">
      <c r="A135" s="222" t="s">
        <v>569</v>
      </c>
      <c r="B135" s="125" t="s">
        <v>285</v>
      </c>
      <c r="C135" s="125" t="s">
        <v>391</v>
      </c>
      <c r="D135" s="125" t="s">
        <v>261</v>
      </c>
      <c r="E135" s="221">
        <v>33994</v>
      </c>
      <c r="F135" s="125" t="str">
        <f>CHOOSE(MONTH(E135),"January","February","March","April","May","June","July","August","September","October","November","December")</f>
        <v>January</v>
      </c>
      <c r="G135" s="125">
        <f ca="1">DATEDIF(E135,TODAY(),"Y")</f>
        <v>23</v>
      </c>
      <c r="H135" s="125" t="s">
        <v>276</v>
      </c>
      <c r="I135" s="220">
        <v>18655</v>
      </c>
      <c r="J135" s="219">
        <v>4</v>
      </c>
    </row>
    <row r="136" spans="1:10" x14ac:dyDescent="0.25">
      <c r="A136" s="222" t="s">
        <v>816</v>
      </c>
      <c r="B136" s="125" t="s">
        <v>245</v>
      </c>
      <c r="C136" s="125" t="s">
        <v>391</v>
      </c>
      <c r="D136" s="125" t="s">
        <v>247</v>
      </c>
      <c r="E136" s="221">
        <v>35150</v>
      </c>
      <c r="F136" s="125" t="str">
        <f>CHOOSE(MONTH(E136),"January","February","March","April","May","June","July","August","September","October","November","December")</f>
        <v>March</v>
      </c>
      <c r="G136" s="125">
        <f ca="1">DATEDIF(E136,TODAY(),"Y")</f>
        <v>20</v>
      </c>
      <c r="I136" s="220">
        <v>35260</v>
      </c>
      <c r="J136" s="219">
        <v>2</v>
      </c>
    </row>
    <row r="137" spans="1:10" x14ac:dyDescent="0.25">
      <c r="A137" s="222" t="s">
        <v>244</v>
      </c>
      <c r="B137" s="125" t="s">
        <v>285</v>
      </c>
      <c r="C137" s="125" t="s">
        <v>391</v>
      </c>
      <c r="D137" s="125" t="s">
        <v>252</v>
      </c>
      <c r="E137" s="221">
        <v>33183</v>
      </c>
      <c r="F137" s="125" t="str">
        <f>CHOOSE(MONTH(E137),"January","February","March","April","May","June","July","August","September","October","November","December")</f>
        <v>November</v>
      </c>
      <c r="G137" s="125">
        <f ca="1">DATEDIF(E137,TODAY(),"Y")</f>
        <v>26</v>
      </c>
      <c r="I137" s="220">
        <v>14712</v>
      </c>
      <c r="J137" s="219">
        <v>5</v>
      </c>
    </row>
    <row r="138" spans="1:10" x14ac:dyDescent="0.25">
      <c r="A138" s="222" t="s">
        <v>324</v>
      </c>
      <c r="B138" s="125" t="s">
        <v>271</v>
      </c>
      <c r="C138" s="125" t="s">
        <v>391</v>
      </c>
      <c r="D138" s="125" t="s">
        <v>247</v>
      </c>
      <c r="E138" s="221">
        <v>35959</v>
      </c>
      <c r="F138" s="125" t="str">
        <f>CHOOSE(MONTH(E138),"January","February","March","April","May","June","July","August","September","October","November","December")</f>
        <v>June</v>
      </c>
      <c r="G138" s="125">
        <f ca="1">DATEDIF(E138,TODAY(),"Y")</f>
        <v>18</v>
      </c>
      <c r="I138" s="220">
        <v>64470</v>
      </c>
      <c r="J138" s="219">
        <v>3</v>
      </c>
    </row>
    <row r="139" spans="1:10" x14ac:dyDescent="0.25">
      <c r="A139" s="222" t="s">
        <v>819</v>
      </c>
      <c r="B139" s="125" t="s">
        <v>285</v>
      </c>
      <c r="C139" s="125" t="s">
        <v>391</v>
      </c>
      <c r="D139" s="125" t="s">
        <v>256</v>
      </c>
      <c r="E139" s="221">
        <v>36269</v>
      </c>
      <c r="F139" s="125" t="str">
        <f>CHOOSE(MONTH(E139),"January","February","March","April","May","June","July","August","September","October","November","December")</f>
        <v>April</v>
      </c>
      <c r="G139" s="125">
        <f ca="1">DATEDIF(E139,TODAY(),"Y")</f>
        <v>17</v>
      </c>
      <c r="H139" s="125" t="s">
        <v>283</v>
      </c>
      <c r="I139" s="220">
        <v>61330</v>
      </c>
      <c r="J139" s="219">
        <v>1</v>
      </c>
    </row>
    <row r="140" spans="1:10" x14ac:dyDescent="0.25">
      <c r="A140" s="222" t="s">
        <v>378</v>
      </c>
      <c r="B140" s="125" t="s">
        <v>271</v>
      </c>
      <c r="C140" s="125" t="s">
        <v>391</v>
      </c>
      <c r="D140" s="125" t="s">
        <v>256</v>
      </c>
      <c r="E140" s="221">
        <v>37113</v>
      </c>
      <c r="F140" s="125" t="str">
        <f>CHOOSE(MONTH(E140),"January","February","March","April","May","June","July","August","September","October","November","December")</f>
        <v>August</v>
      </c>
      <c r="G140" s="125">
        <f ca="1">DATEDIF(E140,TODAY(),"Y")</f>
        <v>15</v>
      </c>
      <c r="H140" s="125" t="s">
        <v>267</v>
      </c>
      <c r="I140" s="220">
        <v>61150</v>
      </c>
      <c r="J140" s="219">
        <v>4</v>
      </c>
    </row>
    <row r="141" spans="1:10" x14ac:dyDescent="0.25">
      <c r="A141" s="223" t="s">
        <v>411</v>
      </c>
    </row>
    <row r="142" spans="1:10" x14ac:dyDescent="0.25">
      <c r="A142" s="222" t="s">
        <v>1060</v>
      </c>
      <c r="B142" s="125" t="s">
        <v>285</v>
      </c>
      <c r="C142" s="125" t="s">
        <v>411</v>
      </c>
      <c r="D142" s="125" t="s">
        <v>256</v>
      </c>
      <c r="E142" s="221">
        <v>38587</v>
      </c>
      <c r="F142" s="125" t="str">
        <f>CHOOSE(MONTH(E142),"January","February","March","April","May","June","July","August","September","October","November","December")</f>
        <v>August</v>
      </c>
      <c r="G142" s="125">
        <f ca="1">DATEDIF(E142,TODAY(),"Y")</f>
        <v>11</v>
      </c>
      <c r="H142" s="125" t="s">
        <v>257</v>
      </c>
      <c r="I142" s="220">
        <v>47350</v>
      </c>
      <c r="J142" s="219">
        <v>5</v>
      </c>
    </row>
    <row r="143" spans="1:10" x14ac:dyDescent="0.25">
      <c r="A143" s="222" t="s">
        <v>474</v>
      </c>
      <c r="B143" s="125" t="s">
        <v>245</v>
      </c>
      <c r="C143" s="125" t="s">
        <v>411</v>
      </c>
      <c r="D143" s="125" t="s">
        <v>256</v>
      </c>
      <c r="E143" s="221">
        <v>40400</v>
      </c>
      <c r="F143" s="125" t="str">
        <f>CHOOSE(MONTH(E143),"January","February","March","April","May","June","July","August","September","October","November","December")</f>
        <v>August</v>
      </c>
      <c r="G143" s="125">
        <f ca="1">DATEDIF(E143,TODAY(),"Y")</f>
        <v>6</v>
      </c>
      <c r="H143" s="125" t="s">
        <v>283</v>
      </c>
      <c r="I143" s="220">
        <v>79150</v>
      </c>
      <c r="J143" s="219">
        <v>2</v>
      </c>
    </row>
    <row r="144" spans="1:10" x14ac:dyDescent="0.25">
      <c r="A144" s="222" t="s">
        <v>292</v>
      </c>
      <c r="B144" s="125" t="s">
        <v>245</v>
      </c>
      <c r="C144" s="125" t="s">
        <v>411</v>
      </c>
      <c r="D144" s="125" t="s">
        <v>256</v>
      </c>
      <c r="E144" s="221">
        <v>36569</v>
      </c>
      <c r="F144" s="125" t="str">
        <f>CHOOSE(MONTH(E144),"January","February","March","April","May","June","July","August","September","October","November","December")</f>
        <v>February</v>
      </c>
      <c r="G144" s="125">
        <f ca="1">DATEDIF(E144,TODAY(),"Y")</f>
        <v>16</v>
      </c>
      <c r="H144" s="125" t="s">
        <v>283</v>
      </c>
      <c r="I144" s="220">
        <v>75060</v>
      </c>
      <c r="J144" s="219">
        <v>5</v>
      </c>
    </row>
    <row r="145" spans="1:10" x14ac:dyDescent="0.25">
      <c r="A145" s="222" t="s">
        <v>394</v>
      </c>
      <c r="B145" s="125" t="s">
        <v>271</v>
      </c>
      <c r="C145" s="125" t="s">
        <v>411</v>
      </c>
      <c r="D145" s="125" t="s">
        <v>256</v>
      </c>
      <c r="E145" s="221">
        <v>35329</v>
      </c>
      <c r="F145" s="125" t="str">
        <f>CHOOSE(MONTH(E145),"January","February","March","April","May","June","July","August","September","October","November","December")</f>
        <v>September</v>
      </c>
      <c r="G145" s="125">
        <f ca="1">DATEDIF(E145,TODAY(),"Y")</f>
        <v>20</v>
      </c>
      <c r="H145" s="125" t="s">
        <v>257</v>
      </c>
      <c r="I145" s="220">
        <v>66740</v>
      </c>
      <c r="J145" s="219">
        <v>2</v>
      </c>
    </row>
    <row r="146" spans="1:10" x14ac:dyDescent="0.25">
      <c r="A146" s="222" t="s">
        <v>480</v>
      </c>
      <c r="B146" s="125" t="s">
        <v>285</v>
      </c>
      <c r="C146" s="125" t="s">
        <v>411</v>
      </c>
      <c r="D146" s="125" t="s">
        <v>247</v>
      </c>
      <c r="E146" s="221">
        <v>38527</v>
      </c>
      <c r="F146" s="125" t="str">
        <f>CHOOSE(MONTH(E146),"January","February","March","April","May","June","July","August","September","October","November","December")</f>
        <v>June</v>
      </c>
      <c r="G146" s="125">
        <f ca="1">DATEDIF(E146,TODAY(),"Y")</f>
        <v>11</v>
      </c>
      <c r="I146" s="220">
        <v>60060</v>
      </c>
      <c r="J146" s="219">
        <v>2</v>
      </c>
    </row>
    <row r="147" spans="1:10" x14ac:dyDescent="0.25">
      <c r="A147" s="223" t="s">
        <v>417</v>
      </c>
    </row>
    <row r="148" spans="1:10" x14ac:dyDescent="0.25">
      <c r="A148" s="222" t="s">
        <v>349</v>
      </c>
      <c r="B148" s="125" t="s">
        <v>285</v>
      </c>
      <c r="C148" s="125" t="s">
        <v>417</v>
      </c>
      <c r="D148" s="125" t="s">
        <v>261</v>
      </c>
      <c r="E148" s="221">
        <v>34755</v>
      </c>
      <c r="F148" s="125" t="str">
        <f>CHOOSE(MONTH(E148),"January","February","March","April","May","June","July","August","September","October","November","December")</f>
        <v>February</v>
      </c>
      <c r="G148" s="125">
        <f ca="1">DATEDIF(E148,TODAY(),"Y")</f>
        <v>21</v>
      </c>
      <c r="H148" s="125" t="s">
        <v>267</v>
      </c>
      <c r="I148" s="220">
        <v>15005</v>
      </c>
      <c r="J148" s="219">
        <v>4</v>
      </c>
    </row>
    <row r="149" spans="1:10" x14ac:dyDescent="0.25">
      <c r="A149" s="222" t="s">
        <v>677</v>
      </c>
      <c r="B149" s="125" t="s">
        <v>285</v>
      </c>
      <c r="C149" s="125" t="s">
        <v>417</v>
      </c>
      <c r="D149" s="125" t="s">
        <v>256</v>
      </c>
      <c r="E149" s="221">
        <v>38753</v>
      </c>
      <c r="F149" s="125" t="str">
        <f>CHOOSE(MONTH(E149),"January","February","March","April","May","June","July","August","September","October","November","December")</f>
        <v>February</v>
      </c>
      <c r="G149" s="125">
        <f ca="1">DATEDIF(E149,TODAY(),"Y")</f>
        <v>10</v>
      </c>
      <c r="H149" s="125" t="s">
        <v>257</v>
      </c>
      <c r="I149" s="220">
        <v>22410</v>
      </c>
      <c r="J149" s="219">
        <v>4</v>
      </c>
    </row>
    <row r="150" spans="1:10" x14ac:dyDescent="0.25">
      <c r="A150" s="222" t="s">
        <v>397</v>
      </c>
      <c r="B150" s="125" t="s">
        <v>285</v>
      </c>
      <c r="C150" s="125" t="s">
        <v>417</v>
      </c>
      <c r="D150" s="125" t="s">
        <v>247</v>
      </c>
      <c r="E150" s="221">
        <v>37641</v>
      </c>
      <c r="F150" s="125" t="str">
        <f>CHOOSE(MONTH(E150),"January","February","March","April","May","June","July","August","September","October","November","December")</f>
        <v>January</v>
      </c>
      <c r="G150" s="125">
        <f ca="1">DATEDIF(E150,TODAY(),"Y")</f>
        <v>13</v>
      </c>
      <c r="I150" s="220">
        <v>31970</v>
      </c>
      <c r="J150" s="219">
        <v>5</v>
      </c>
    </row>
    <row r="151" spans="1:10" x14ac:dyDescent="0.25">
      <c r="A151" s="222" t="s">
        <v>840</v>
      </c>
      <c r="B151" s="125" t="s">
        <v>251</v>
      </c>
      <c r="C151" s="125" t="s">
        <v>417</v>
      </c>
      <c r="D151" s="125" t="s">
        <v>256</v>
      </c>
      <c r="E151" s="221">
        <v>36082</v>
      </c>
      <c r="F151" s="125" t="str">
        <f>CHOOSE(MONTH(E151),"January","February","March","April","May","June","July","August","September","October","November","December")</f>
        <v>October</v>
      </c>
      <c r="G151" s="125">
        <f ca="1">DATEDIF(E151,TODAY(),"Y")</f>
        <v>18</v>
      </c>
      <c r="H151" s="125" t="s">
        <v>283</v>
      </c>
      <c r="I151" s="220">
        <v>82400</v>
      </c>
      <c r="J151" s="219">
        <v>2</v>
      </c>
    </row>
    <row r="152" spans="1:10" x14ac:dyDescent="0.25">
      <c r="A152" s="222" t="s">
        <v>472</v>
      </c>
      <c r="B152" s="125" t="s">
        <v>271</v>
      </c>
      <c r="C152" s="125" t="s">
        <v>417</v>
      </c>
      <c r="D152" s="125" t="s">
        <v>256</v>
      </c>
      <c r="E152" s="221">
        <v>40399</v>
      </c>
      <c r="F152" s="125" t="str">
        <f>CHOOSE(MONTH(E152),"January","February","March","April","May","June","July","August","September","October","November","December")</f>
        <v>August</v>
      </c>
      <c r="G152" s="125">
        <f ca="1">DATEDIF(E152,TODAY(),"Y")</f>
        <v>6</v>
      </c>
      <c r="H152" s="125" t="s">
        <v>267</v>
      </c>
      <c r="I152" s="220">
        <v>32640</v>
      </c>
      <c r="J152" s="219">
        <v>4</v>
      </c>
    </row>
    <row r="153" spans="1:10" x14ac:dyDescent="0.25">
      <c r="A153" s="222" t="s">
        <v>828</v>
      </c>
      <c r="B153" s="125" t="s">
        <v>271</v>
      </c>
      <c r="C153" s="125" t="s">
        <v>417</v>
      </c>
      <c r="D153" s="125" t="s">
        <v>247</v>
      </c>
      <c r="E153" s="221">
        <v>33949</v>
      </c>
      <c r="F153" s="125" t="str">
        <f>CHOOSE(MONTH(E153),"January","February","March","April","May","June","July","August","September","October","November","December")</f>
        <v>December</v>
      </c>
      <c r="G153" s="125">
        <f ca="1">DATEDIF(E153,TODAY(),"Y")</f>
        <v>23</v>
      </c>
      <c r="I153" s="220">
        <v>81070</v>
      </c>
      <c r="J153" s="219">
        <v>5</v>
      </c>
    </row>
    <row r="154" spans="1:10" x14ac:dyDescent="0.25">
      <c r="A154" s="222" t="s">
        <v>923</v>
      </c>
      <c r="B154" s="125" t="s">
        <v>285</v>
      </c>
      <c r="C154" s="125" t="s">
        <v>417</v>
      </c>
      <c r="D154" s="125" t="s">
        <v>256</v>
      </c>
      <c r="E154" s="221">
        <v>34086</v>
      </c>
      <c r="F154" s="125" t="str">
        <f>CHOOSE(MONTH(E154),"January","February","March","April","May","June","July","August","September","October","November","December")</f>
        <v>April</v>
      </c>
      <c r="G154" s="125">
        <f ca="1">DATEDIF(E154,TODAY(),"Y")</f>
        <v>23</v>
      </c>
      <c r="H154" s="125" t="s">
        <v>257</v>
      </c>
      <c r="I154" s="220">
        <v>31840</v>
      </c>
      <c r="J154" s="219">
        <v>1</v>
      </c>
    </row>
    <row r="155" spans="1:10" x14ac:dyDescent="0.25">
      <c r="A155" s="222" t="s">
        <v>661</v>
      </c>
      <c r="B155" s="125" t="s">
        <v>271</v>
      </c>
      <c r="C155" s="125" t="s">
        <v>417</v>
      </c>
      <c r="D155" s="125" t="s">
        <v>247</v>
      </c>
      <c r="E155" s="221">
        <v>40236</v>
      </c>
      <c r="F155" s="125" t="str">
        <f>CHOOSE(MONTH(E155),"January","February","March","April","May","June","July","August","September","October","November","December")</f>
        <v>February</v>
      </c>
      <c r="G155" s="125">
        <f ca="1">DATEDIF(E155,TODAY(),"Y")</f>
        <v>6</v>
      </c>
      <c r="I155" s="220">
        <v>45830</v>
      </c>
      <c r="J155" s="219">
        <v>4</v>
      </c>
    </row>
    <row r="156" spans="1:10" x14ac:dyDescent="0.25">
      <c r="A156" s="222" t="s">
        <v>900</v>
      </c>
      <c r="B156" s="125" t="s">
        <v>271</v>
      </c>
      <c r="C156" s="125" t="s">
        <v>417</v>
      </c>
      <c r="D156" s="125" t="s">
        <v>256</v>
      </c>
      <c r="E156" s="221">
        <v>33117</v>
      </c>
      <c r="F156" s="125" t="str">
        <f>CHOOSE(MONTH(E156),"January","February","March","April","May","June","July","August","September","October","November","December")</f>
        <v>September</v>
      </c>
      <c r="G156" s="125">
        <f ca="1">DATEDIF(E156,TODAY(),"Y")</f>
        <v>26</v>
      </c>
      <c r="H156" s="125" t="s">
        <v>267</v>
      </c>
      <c r="I156" s="220">
        <v>35360</v>
      </c>
      <c r="J156" s="219">
        <v>5</v>
      </c>
    </row>
    <row r="157" spans="1:10" x14ac:dyDescent="0.25">
      <c r="A157" s="222" t="s">
        <v>533</v>
      </c>
      <c r="B157" s="125" t="s">
        <v>245</v>
      </c>
      <c r="C157" s="125" t="s">
        <v>417</v>
      </c>
      <c r="D157" s="125" t="s">
        <v>261</v>
      </c>
      <c r="E157" s="221">
        <v>33709</v>
      </c>
      <c r="F157" s="125" t="str">
        <f>CHOOSE(MONTH(E157),"January","February","March","April","May","June","July","August","September","October","November","December")</f>
        <v>April</v>
      </c>
      <c r="G157" s="125">
        <f ca="1">DATEDIF(E157,TODAY(),"Y")</f>
        <v>24</v>
      </c>
      <c r="H157" s="125" t="s">
        <v>257</v>
      </c>
      <c r="I157" s="220">
        <v>34110</v>
      </c>
      <c r="J157" s="219">
        <v>4</v>
      </c>
    </row>
    <row r="158" spans="1:10" x14ac:dyDescent="0.25">
      <c r="A158" s="222" t="s">
        <v>321</v>
      </c>
      <c r="B158" s="125" t="s">
        <v>271</v>
      </c>
      <c r="C158" s="125" t="s">
        <v>417</v>
      </c>
      <c r="D158" s="125" t="s">
        <v>247</v>
      </c>
      <c r="E158" s="221">
        <v>35939</v>
      </c>
      <c r="F158" s="125" t="str">
        <f>CHOOSE(MONTH(E158),"January","February","March","April","May","June","July","August","September","October","November","December")</f>
        <v>May</v>
      </c>
      <c r="G158" s="125">
        <f ca="1">DATEDIF(E158,TODAY(),"Y")</f>
        <v>18</v>
      </c>
      <c r="I158" s="220">
        <v>25120</v>
      </c>
      <c r="J158" s="219">
        <v>5</v>
      </c>
    </row>
    <row r="159" spans="1:10" x14ac:dyDescent="0.25">
      <c r="A159" s="222" t="s">
        <v>908</v>
      </c>
      <c r="B159" s="125" t="s">
        <v>280</v>
      </c>
      <c r="C159" s="125" t="s">
        <v>417</v>
      </c>
      <c r="D159" s="125" t="s">
        <v>256</v>
      </c>
      <c r="E159" s="221">
        <v>36414</v>
      </c>
      <c r="F159" s="125" t="str">
        <f>CHOOSE(MONTH(E159),"January","February","March","April","May","June","July","August","September","October","November","December")</f>
        <v>September</v>
      </c>
      <c r="G159" s="125">
        <f ca="1">DATEDIF(E159,TODAY(),"Y")</f>
        <v>17</v>
      </c>
      <c r="H159" s="125" t="s">
        <v>276</v>
      </c>
      <c r="I159" s="220">
        <v>39680</v>
      </c>
      <c r="J159" s="219">
        <v>5</v>
      </c>
    </row>
    <row r="160" spans="1:10" x14ac:dyDescent="0.25">
      <c r="A160" s="222" t="s">
        <v>439</v>
      </c>
      <c r="B160" s="125" t="s">
        <v>280</v>
      </c>
      <c r="C160" s="125" t="s">
        <v>417</v>
      </c>
      <c r="D160" s="125" t="s">
        <v>252</v>
      </c>
      <c r="E160" s="221">
        <v>36263</v>
      </c>
      <c r="F160" s="125" t="str">
        <f>CHOOSE(MONTH(E160),"January","February","March","April","May","June","July","August","September","October","November","December")</f>
        <v>April</v>
      </c>
      <c r="G160" s="125">
        <f ca="1">DATEDIF(E160,TODAY(),"Y")</f>
        <v>17</v>
      </c>
      <c r="I160" s="220">
        <v>38768</v>
      </c>
      <c r="J160" s="219">
        <v>4</v>
      </c>
    </row>
    <row r="161" spans="1:10" x14ac:dyDescent="0.25">
      <c r="A161" s="222" t="s">
        <v>831</v>
      </c>
      <c r="B161" s="125" t="s">
        <v>285</v>
      </c>
      <c r="C161" s="125" t="s">
        <v>417</v>
      </c>
      <c r="D161" s="125" t="s">
        <v>247</v>
      </c>
      <c r="E161" s="221">
        <v>33424</v>
      </c>
      <c r="F161" s="125" t="str">
        <f>CHOOSE(MONTH(E161),"January","February","March","April","May","June","July","August","September","October","November","December")</f>
        <v>July</v>
      </c>
      <c r="G161" s="125">
        <f ca="1">DATEDIF(E161,TODAY(),"Y")</f>
        <v>25</v>
      </c>
      <c r="I161" s="220">
        <v>22320</v>
      </c>
      <c r="J161" s="219">
        <v>2</v>
      </c>
    </row>
    <row r="162" spans="1:10" x14ac:dyDescent="0.25">
      <c r="A162" s="222" t="s">
        <v>602</v>
      </c>
      <c r="B162" s="125" t="s">
        <v>271</v>
      </c>
      <c r="C162" s="125" t="s">
        <v>417</v>
      </c>
      <c r="D162" s="125" t="s">
        <v>256</v>
      </c>
      <c r="E162" s="221">
        <v>34213</v>
      </c>
      <c r="F162" s="125" t="str">
        <f>CHOOSE(MONTH(E162),"January","February","March","April","May","June","July","August","September","October","November","December")</f>
        <v>September</v>
      </c>
      <c r="G162" s="125">
        <f ca="1">DATEDIF(E162,TODAY(),"Y")</f>
        <v>23</v>
      </c>
      <c r="H162" s="125" t="s">
        <v>257</v>
      </c>
      <c r="I162" s="220">
        <v>72900</v>
      </c>
      <c r="J162" s="219">
        <v>3</v>
      </c>
    </row>
    <row r="163" spans="1:10" x14ac:dyDescent="0.25">
      <c r="A163" s="222" t="s">
        <v>659</v>
      </c>
      <c r="B163" s="125" t="s">
        <v>245</v>
      </c>
      <c r="C163" s="125" t="s">
        <v>417</v>
      </c>
      <c r="D163" s="125" t="s">
        <v>256</v>
      </c>
      <c r="E163" s="221">
        <v>36643</v>
      </c>
      <c r="F163" s="125" t="str">
        <f>CHOOSE(MONTH(E163),"January","February","March","April","May","June","July","August","September","October","November","December")</f>
        <v>April</v>
      </c>
      <c r="G163" s="125">
        <f ca="1">DATEDIF(E163,TODAY(),"Y")</f>
        <v>16</v>
      </c>
      <c r="H163" s="125" t="s">
        <v>283</v>
      </c>
      <c r="I163" s="220">
        <v>71380</v>
      </c>
      <c r="J163" s="219">
        <v>2</v>
      </c>
    </row>
    <row r="164" spans="1:10" x14ac:dyDescent="0.25">
      <c r="A164" s="222" t="s">
        <v>679</v>
      </c>
      <c r="B164" s="125" t="s">
        <v>251</v>
      </c>
      <c r="C164" s="125" t="s">
        <v>417</v>
      </c>
      <c r="D164" s="125" t="s">
        <v>256</v>
      </c>
      <c r="E164" s="221">
        <v>35989</v>
      </c>
      <c r="F164" s="125" t="str">
        <f>CHOOSE(MONTH(E164),"January","February","March","April","May","June","July","August","September","October","November","December")</f>
        <v>July</v>
      </c>
      <c r="G164" s="125">
        <f ca="1">DATEDIF(E164,TODAY(),"Y")</f>
        <v>18</v>
      </c>
      <c r="H164" s="125" t="s">
        <v>262</v>
      </c>
      <c r="I164" s="220">
        <v>71010</v>
      </c>
      <c r="J164" s="219">
        <v>5</v>
      </c>
    </row>
    <row r="165" spans="1:10" x14ac:dyDescent="0.25">
      <c r="A165" s="222" t="s">
        <v>422</v>
      </c>
      <c r="B165" s="125" t="s">
        <v>271</v>
      </c>
      <c r="C165" s="125" t="s">
        <v>417</v>
      </c>
      <c r="D165" s="125" t="s">
        <v>256</v>
      </c>
      <c r="E165" s="221">
        <v>37288</v>
      </c>
      <c r="F165" s="125" t="str">
        <f>CHOOSE(MONTH(E165),"January","February","March","April","May","June","July","August","September","October","November","December")</f>
        <v>February</v>
      </c>
      <c r="G165" s="125">
        <f ca="1">DATEDIF(E165,TODAY(),"Y")</f>
        <v>14</v>
      </c>
      <c r="H165" s="125" t="s">
        <v>257</v>
      </c>
      <c r="I165" s="220">
        <v>42480</v>
      </c>
      <c r="J165" s="219">
        <v>3</v>
      </c>
    </row>
    <row r="166" spans="1:10" x14ac:dyDescent="0.25">
      <c r="A166" s="222" t="s">
        <v>528</v>
      </c>
      <c r="B166" s="125" t="s">
        <v>285</v>
      </c>
      <c r="C166" s="125" t="s">
        <v>417</v>
      </c>
      <c r="D166" s="125" t="s">
        <v>256</v>
      </c>
      <c r="E166" s="221">
        <v>38135</v>
      </c>
      <c r="F166" s="125" t="str">
        <f>CHOOSE(MONTH(E166),"January","February","March","April","May","June","July","August","September","October","November","December")</f>
        <v>May</v>
      </c>
      <c r="G166" s="125">
        <f ca="1">DATEDIF(E166,TODAY(),"Y")</f>
        <v>12</v>
      </c>
      <c r="H166" s="125" t="s">
        <v>267</v>
      </c>
      <c r="I166" s="220">
        <v>65560</v>
      </c>
      <c r="J166" s="219">
        <v>1</v>
      </c>
    </row>
    <row r="167" spans="1:10" x14ac:dyDescent="0.25">
      <c r="A167" s="222" t="s">
        <v>558</v>
      </c>
      <c r="B167" s="125" t="s">
        <v>285</v>
      </c>
      <c r="C167" s="125" t="s">
        <v>417</v>
      </c>
      <c r="D167" s="125" t="s">
        <v>261</v>
      </c>
      <c r="E167" s="221">
        <v>35070</v>
      </c>
      <c r="F167" s="125" t="str">
        <f>CHOOSE(MONTH(E167),"January","February","March","April","May","June","July","August","September","October","November","December")</f>
        <v>January</v>
      </c>
      <c r="G167" s="125">
        <f ca="1">DATEDIF(E167,TODAY(),"Y")</f>
        <v>20</v>
      </c>
      <c r="H167" s="125" t="s">
        <v>276</v>
      </c>
      <c r="I167" s="220">
        <v>21220</v>
      </c>
      <c r="J167" s="219">
        <v>3</v>
      </c>
    </row>
    <row r="168" spans="1:10" x14ac:dyDescent="0.25">
      <c r="A168" s="222" t="s">
        <v>583</v>
      </c>
      <c r="B168" s="125" t="s">
        <v>280</v>
      </c>
      <c r="C168" s="125" t="s">
        <v>417</v>
      </c>
      <c r="D168" s="125" t="s">
        <v>256</v>
      </c>
      <c r="E168" s="221">
        <v>33872</v>
      </c>
      <c r="F168" s="125" t="str">
        <f>CHOOSE(MONTH(E168),"January","February","March","April","May","June","July","August","September","October","November","December")</f>
        <v>September</v>
      </c>
      <c r="G168" s="125">
        <f ca="1">DATEDIF(E168,TODAY(),"Y")</f>
        <v>24</v>
      </c>
      <c r="H168" s="125" t="s">
        <v>257</v>
      </c>
      <c r="I168" s="220">
        <v>64510</v>
      </c>
      <c r="J168" s="219">
        <v>3</v>
      </c>
    </row>
    <row r="169" spans="1:10" x14ac:dyDescent="0.25">
      <c r="A169" s="222" t="s">
        <v>277</v>
      </c>
      <c r="B169" s="125" t="s">
        <v>285</v>
      </c>
      <c r="C169" s="125" t="s">
        <v>417</v>
      </c>
      <c r="D169" s="125" t="s">
        <v>256</v>
      </c>
      <c r="E169" s="221">
        <v>35501</v>
      </c>
      <c r="F169" s="125" t="str">
        <f>CHOOSE(MONTH(E169),"January","February","March","April","May","June","July","August","September","October","November","December")</f>
        <v>March</v>
      </c>
      <c r="G169" s="125">
        <f ca="1">DATEDIF(E169,TODAY(),"Y")</f>
        <v>19</v>
      </c>
      <c r="H169" s="125" t="s">
        <v>283</v>
      </c>
      <c r="I169" s="220">
        <v>37750</v>
      </c>
      <c r="J169" s="219">
        <v>5</v>
      </c>
    </row>
    <row r="170" spans="1:10" x14ac:dyDescent="0.25">
      <c r="A170" s="222" t="s">
        <v>516</v>
      </c>
      <c r="B170" s="125" t="s">
        <v>245</v>
      </c>
      <c r="C170" s="125" t="s">
        <v>417</v>
      </c>
      <c r="D170" s="125" t="s">
        <v>247</v>
      </c>
      <c r="E170" s="221">
        <v>34161</v>
      </c>
      <c r="F170" s="125" t="str">
        <f>CHOOSE(MONTH(E170),"January","February","March","April","May","June","July","August","September","October","November","December")</f>
        <v>July</v>
      </c>
      <c r="G170" s="125">
        <f ca="1">DATEDIF(E170,TODAY(),"Y")</f>
        <v>23</v>
      </c>
      <c r="I170" s="220">
        <v>64090</v>
      </c>
      <c r="J170" s="219">
        <v>2</v>
      </c>
    </row>
    <row r="171" spans="1:10" x14ac:dyDescent="0.25">
      <c r="A171" s="222" t="s">
        <v>969</v>
      </c>
      <c r="B171" s="125" t="s">
        <v>285</v>
      </c>
      <c r="C171" s="125" t="s">
        <v>417</v>
      </c>
      <c r="D171" s="125" t="s">
        <v>256</v>
      </c>
      <c r="E171" s="221">
        <v>35253</v>
      </c>
      <c r="F171" s="125" t="str">
        <f>CHOOSE(MONTH(E171),"January","February","March","April","May","June","July","August","September","October","November","December")</f>
        <v>July</v>
      </c>
      <c r="G171" s="125">
        <f ca="1">DATEDIF(E171,TODAY(),"Y")</f>
        <v>20</v>
      </c>
      <c r="H171" s="125" t="s">
        <v>257</v>
      </c>
      <c r="I171" s="220">
        <v>63780</v>
      </c>
      <c r="J171" s="219">
        <v>5</v>
      </c>
    </row>
    <row r="172" spans="1:10" x14ac:dyDescent="0.25">
      <c r="A172" s="222" t="s">
        <v>543</v>
      </c>
      <c r="B172" s="125" t="s">
        <v>285</v>
      </c>
      <c r="C172" s="125" t="s">
        <v>417</v>
      </c>
      <c r="D172" s="125" t="s">
        <v>261</v>
      </c>
      <c r="E172" s="221">
        <v>35186</v>
      </c>
      <c r="F172" s="125" t="str">
        <f>CHOOSE(MONTH(E172),"January","February","March","April","May","June","July","August","September","October","November","December")</f>
        <v>May</v>
      </c>
      <c r="G172" s="125">
        <f ca="1">DATEDIF(E172,TODAY(),"Y")</f>
        <v>20</v>
      </c>
      <c r="H172" s="125" t="s">
        <v>276</v>
      </c>
      <c r="I172" s="220">
        <v>32835</v>
      </c>
      <c r="J172" s="219">
        <v>2</v>
      </c>
    </row>
    <row r="173" spans="1:10" x14ac:dyDescent="0.25">
      <c r="A173" s="222" t="s">
        <v>1027</v>
      </c>
      <c r="B173" s="125" t="s">
        <v>245</v>
      </c>
      <c r="C173" s="125" t="s">
        <v>417</v>
      </c>
      <c r="D173" s="125" t="s">
        <v>247</v>
      </c>
      <c r="E173" s="221">
        <v>34761</v>
      </c>
      <c r="F173" s="125" t="str">
        <f>CHOOSE(MONTH(E173),"January","February","March","April","May","June","July","August","September","October","November","December")</f>
        <v>March</v>
      </c>
      <c r="G173" s="125">
        <f ca="1">DATEDIF(E173,TODAY(),"Y")</f>
        <v>21</v>
      </c>
      <c r="I173" s="220">
        <v>45040</v>
      </c>
      <c r="J173" s="219">
        <v>5</v>
      </c>
    </row>
    <row r="174" spans="1:10" x14ac:dyDescent="0.25">
      <c r="A174" s="222" t="s">
        <v>784</v>
      </c>
      <c r="B174" s="125" t="s">
        <v>266</v>
      </c>
      <c r="C174" s="125" t="s">
        <v>417</v>
      </c>
      <c r="D174" s="125" t="s">
        <v>247</v>
      </c>
      <c r="E174" s="221">
        <v>40259</v>
      </c>
      <c r="F174" s="125" t="str">
        <f>CHOOSE(MONTH(E174),"January","February","March","April","May","June","July","August","September","October","November","December")</f>
        <v>March</v>
      </c>
      <c r="G174" s="125">
        <f ca="1">DATEDIF(E174,TODAY(),"Y")</f>
        <v>6</v>
      </c>
      <c r="I174" s="220">
        <v>45710</v>
      </c>
      <c r="J174" s="219">
        <v>3</v>
      </c>
    </row>
    <row r="175" spans="1:10" x14ac:dyDescent="0.25">
      <c r="A175" s="222" t="s">
        <v>822</v>
      </c>
      <c r="B175" s="125" t="s">
        <v>271</v>
      </c>
      <c r="C175" s="125" t="s">
        <v>417</v>
      </c>
      <c r="D175" s="125" t="s">
        <v>261</v>
      </c>
      <c r="E175" s="221">
        <v>39768</v>
      </c>
      <c r="F175" s="125" t="str">
        <f>CHOOSE(MONTH(E175),"January","February","March","April","May","June","July","August","September","October","November","December")</f>
        <v>November</v>
      </c>
      <c r="G175" s="125">
        <f ca="1">DATEDIF(E175,TODAY(),"Y")</f>
        <v>7</v>
      </c>
      <c r="H175" s="125" t="s">
        <v>257</v>
      </c>
      <c r="I175" s="220">
        <v>39515</v>
      </c>
      <c r="J175" s="219">
        <v>5</v>
      </c>
    </row>
    <row r="176" spans="1:10" x14ac:dyDescent="0.25">
      <c r="A176" s="222" t="s">
        <v>498</v>
      </c>
      <c r="B176" s="125" t="s">
        <v>271</v>
      </c>
      <c r="C176" s="125" t="s">
        <v>417</v>
      </c>
      <c r="D176" s="125" t="s">
        <v>256</v>
      </c>
      <c r="E176" s="221">
        <v>33405</v>
      </c>
      <c r="F176" s="125" t="str">
        <f>CHOOSE(MONTH(E176),"January","February","March","April","May","June","July","August","September","October","November","December")</f>
        <v>June</v>
      </c>
      <c r="G176" s="125">
        <f ca="1">DATEDIF(E176,TODAY(),"Y")</f>
        <v>25</v>
      </c>
      <c r="H176" s="125" t="s">
        <v>283</v>
      </c>
      <c r="I176" s="220">
        <v>32140</v>
      </c>
      <c r="J176" s="219">
        <v>2</v>
      </c>
    </row>
    <row r="177" spans="1:10" x14ac:dyDescent="0.25">
      <c r="A177" s="222" t="s">
        <v>363</v>
      </c>
      <c r="B177" s="125" t="s">
        <v>280</v>
      </c>
      <c r="C177" s="125" t="s">
        <v>417</v>
      </c>
      <c r="D177" s="125" t="s">
        <v>256</v>
      </c>
      <c r="E177" s="221">
        <v>33079</v>
      </c>
      <c r="F177" s="125" t="str">
        <f>CHOOSE(MONTH(E177),"January","February","March","April","May","June","July","August","September","October","November","December")</f>
        <v>July</v>
      </c>
      <c r="G177" s="125">
        <f ca="1">DATEDIF(E177,TODAY(),"Y")</f>
        <v>26</v>
      </c>
      <c r="H177" s="125" t="s">
        <v>276</v>
      </c>
      <c r="I177" s="220">
        <v>32360</v>
      </c>
      <c r="J177" s="219">
        <v>4</v>
      </c>
    </row>
    <row r="178" spans="1:10" x14ac:dyDescent="0.25">
      <c r="A178" s="222" t="s">
        <v>753</v>
      </c>
      <c r="B178" s="125" t="s">
        <v>271</v>
      </c>
      <c r="C178" s="125" t="s">
        <v>417</v>
      </c>
      <c r="D178" s="125" t="s">
        <v>256</v>
      </c>
      <c r="E178" s="221">
        <v>35084</v>
      </c>
      <c r="F178" s="125" t="str">
        <f>CHOOSE(MONTH(E178),"January","February","March","April","May","June","July","August","September","October","November","December")</f>
        <v>January</v>
      </c>
      <c r="G178" s="125">
        <f ca="1">DATEDIF(E178,TODAY(),"Y")</f>
        <v>20</v>
      </c>
      <c r="H178" s="125" t="s">
        <v>276</v>
      </c>
      <c r="I178" s="220">
        <v>49260</v>
      </c>
      <c r="J178" s="219">
        <v>3</v>
      </c>
    </row>
    <row r="179" spans="1:10" x14ac:dyDescent="0.25">
      <c r="A179" s="222" t="s">
        <v>265</v>
      </c>
      <c r="B179" s="125" t="s">
        <v>271</v>
      </c>
      <c r="C179" s="125" t="s">
        <v>417</v>
      </c>
      <c r="D179" s="125" t="s">
        <v>247</v>
      </c>
      <c r="E179" s="221">
        <v>34771</v>
      </c>
      <c r="F179" s="125" t="str">
        <f>CHOOSE(MONTH(E179),"January","February","March","April","May","June","July","August","September","October","November","December")</f>
        <v>March</v>
      </c>
      <c r="G179" s="125">
        <f ca="1">DATEDIF(E179,TODAY(),"Y")</f>
        <v>21</v>
      </c>
      <c r="I179" s="220">
        <v>26360</v>
      </c>
      <c r="J179" s="219">
        <v>4</v>
      </c>
    </row>
    <row r="180" spans="1:10" x14ac:dyDescent="0.25">
      <c r="A180" s="222" t="s">
        <v>668</v>
      </c>
      <c r="B180" s="125" t="s">
        <v>251</v>
      </c>
      <c r="C180" s="125" t="s">
        <v>417</v>
      </c>
      <c r="D180" s="125" t="s">
        <v>247</v>
      </c>
      <c r="E180" s="221">
        <v>40054</v>
      </c>
      <c r="F180" s="125" t="str">
        <f>CHOOSE(MONTH(E180),"January","February","March","April","May","June","July","August","September","October","November","December")</f>
        <v>August</v>
      </c>
      <c r="G180" s="125">
        <f ca="1">DATEDIF(E180,TODAY(),"Y")</f>
        <v>7</v>
      </c>
      <c r="I180" s="220">
        <v>56920</v>
      </c>
      <c r="J180" s="219">
        <v>4</v>
      </c>
    </row>
    <row r="181" spans="1:10" x14ac:dyDescent="0.25">
      <c r="A181" s="222" t="s">
        <v>997</v>
      </c>
      <c r="B181" s="125" t="s">
        <v>271</v>
      </c>
      <c r="C181" s="125" t="s">
        <v>417</v>
      </c>
      <c r="D181" s="125" t="s">
        <v>256</v>
      </c>
      <c r="E181" s="221">
        <v>35605</v>
      </c>
      <c r="F181" s="125" t="str">
        <f>CHOOSE(MONTH(E181),"January","February","March","April","May","June","July","August","September","October","November","December")</f>
        <v>June</v>
      </c>
      <c r="G181" s="125">
        <f ca="1">DATEDIF(E181,TODAY(),"Y")</f>
        <v>19</v>
      </c>
      <c r="H181" s="125" t="s">
        <v>283</v>
      </c>
      <c r="I181" s="220">
        <v>56870</v>
      </c>
      <c r="J181" s="219">
        <v>1</v>
      </c>
    </row>
    <row r="182" spans="1:10" x14ac:dyDescent="0.25">
      <c r="A182" s="222" t="s">
        <v>506</v>
      </c>
      <c r="B182" s="125" t="s">
        <v>285</v>
      </c>
      <c r="C182" s="125" t="s">
        <v>417</v>
      </c>
      <c r="D182" s="125" t="s">
        <v>256</v>
      </c>
      <c r="E182" s="221">
        <v>40470</v>
      </c>
      <c r="F182" s="125" t="str">
        <f>CHOOSE(MONTH(E182),"January","February","March","April","May","June","July","August","September","October","November","December")</f>
        <v>October</v>
      </c>
      <c r="G182" s="125">
        <f ca="1">DATEDIF(E182,TODAY(),"Y")</f>
        <v>6</v>
      </c>
      <c r="H182" s="125" t="s">
        <v>283</v>
      </c>
      <c r="I182" s="220">
        <v>42620</v>
      </c>
      <c r="J182" s="219">
        <v>3</v>
      </c>
    </row>
    <row r="183" spans="1:10" x14ac:dyDescent="0.25">
      <c r="A183" s="222" t="s">
        <v>544</v>
      </c>
      <c r="B183" s="125" t="s">
        <v>251</v>
      </c>
      <c r="C183" s="125" t="s">
        <v>417</v>
      </c>
      <c r="D183" s="125" t="s">
        <v>256</v>
      </c>
      <c r="E183" s="221">
        <v>33923</v>
      </c>
      <c r="F183" s="125" t="str">
        <f>CHOOSE(MONTH(E183),"January","February","March","April","May","June","July","August","September","October","November","December")</f>
        <v>November</v>
      </c>
      <c r="G183" s="125">
        <f ca="1">DATEDIF(E183,TODAY(),"Y")</f>
        <v>23</v>
      </c>
      <c r="H183" s="125" t="s">
        <v>283</v>
      </c>
      <c r="I183" s="220">
        <v>46340</v>
      </c>
      <c r="J183" s="219">
        <v>5</v>
      </c>
    </row>
    <row r="184" spans="1:10" x14ac:dyDescent="0.25">
      <c r="A184" s="222" t="s">
        <v>1024</v>
      </c>
      <c r="B184" s="125" t="s">
        <v>285</v>
      </c>
      <c r="C184" s="125" t="s">
        <v>417</v>
      </c>
      <c r="D184" s="125" t="s">
        <v>247</v>
      </c>
      <c r="E184" s="221">
        <v>34912</v>
      </c>
      <c r="F184" s="125" t="str">
        <f>CHOOSE(MONTH(E184),"January","February","March","April","May","June","July","August","September","October","November","December")</f>
        <v>August</v>
      </c>
      <c r="G184" s="125">
        <f ca="1">DATEDIF(E184,TODAY(),"Y")</f>
        <v>21</v>
      </c>
      <c r="I184" s="220">
        <v>40560</v>
      </c>
      <c r="J184" s="219">
        <v>5</v>
      </c>
    </row>
    <row r="185" spans="1:10" x14ac:dyDescent="0.25">
      <c r="A185" s="222" t="s">
        <v>490</v>
      </c>
      <c r="B185" s="125" t="s">
        <v>271</v>
      </c>
      <c r="C185" s="125" t="s">
        <v>417</v>
      </c>
      <c r="D185" s="125" t="s">
        <v>252</v>
      </c>
      <c r="E185" s="221">
        <v>39893</v>
      </c>
      <c r="F185" s="125" t="str">
        <f>CHOOSE(MONTH(E185),"January","February","March","April","May","June","July","August","September","October","November","December")</f>
        <v>March</v>
      </c>
      <c r="G185" s="125">
        <f ca="1">DATEDIF(E185,TODAY(),"Y")</f>
        <v>7</v>
      </c>
      <c r="I185" s="220">
        <v>15744</v>
      </c>
      <c r="J185" s="219">
        <v>3</v>
      </c>
    </row>
    <row r="186" spans="1:10" x14ac:dyDescent="0.25">
      <c r="A186" s="223" t="s">
        <v>456</v>
      </c>
    </row>
    <row r="187" spans="1:10" x14ac:dyDescent="0.25">
      <c r="A187" s="222" t="s">
        <v>532</v>
      </c>
      <c r="B187" s="125" t="s">
        <v>271</v>
      </c>
      <c r="C187" s="125" t="s">
        <v>456</v>
      </c>
      <c r="D187" s="125" t="s">
        <v>261</v>
      </c>
      <c r="E187" s="221">
        <v>34401</v>
      </c>
      <c r="F187" s="125" t="str">
        <f>CHOOSE(MONTH(E187),"January","February","March","April","May","June","July","August","September","October","November","December")</f>
        <v>March</v>
      </c>
      <c r="G187" s="125">
        <f ca="1">DATEDIF(E187,TODAY(),"Y")</f>
        <v>22</v>
      </c>
      <c r="H187" s="125" t="s">
        <v>267</v>
      </c>
      <c r="I187" s="220">
        <v>89780</v>
      </c>
      <c r="J187" s="219">
        <v>4</v>
      </c>
    </row>
    <row r="188" spans="1:10" x14ac:dyDescent="0.25">
      <c r="A188" s="222" t="s">
        <v>495</v>
      </c>
      <c r="B188" s="125" t="s">
        <v>271</v>
      </c>
      <c r="C188" s="125" t="s">
        <v>456</v>
      </c>
      <c r="D188" s="125" t="s">
        <v>256</v>
      </c>
      <c r="E188" s="221">
        <v>33385</v>
      </c>
      <c r="F188" s="125" t="str">
        <f>CHOOSE(MONTH(E188),"January","February","March","April","May","June","July","August","September","October","November","December")</f>
        <v>May</v>
      </c>
      <c r="G188" s="125">
        <f ca="1">DATEDIF(E188,TODAY(),"Y")</f>
        <v>25</v>
      </c>
      <c r="H188" s="125" t="s">
        <v>257</v>
      </c>
      <c r="I188" s="220">
        <v>89140</v>
      </c>
      <c r="J188" s="219">
        <v>1</v>
      </c>
    </row>
    <row r="189" spans="1:10" x14ac:dyDescent="0.25">
      <c r="A189" s="222" t="s">
        <v>671</v>
      </c>
      <c r="B189" s="125" t="s">
        <v>285</v>
      </c>
      <c r="C189" s="125" t="s">
        <v>456</v>
      </c>
      <c r="D189" s="125" t="s">
        <v>252</v>
      </c>
      <c r="E189" s="221">
        <v>37946</v>
      </c>
      <c r="F189" s="125" t="str">
        <f>CHOOSE(MONTH(E189),"January","February","March","April","May","June","July","August","September","October","November","December")</f>
        <v>November</v>
      </c>
      <c r="G189" s="125">
        <f ca="1">DATEDIF(E189,TODAY(),"Y")</f>
        <v>12</v>
      </c>
      <c r="H189" s="125" t="s">
        <v>257</v>
      </c>
      <c r="I189" s="220">
        <v>85130</v>
      </c>
      <c r="J189" s="219">
        <v>5</v>
      </c>
    </row>
    <row r="190" spans="1:10" x14ac:dyDescent="0.25">
      <c r="A190" s="222" t="s">
        <v>412</v>
      </c>
      <c r="B190" s="125" t="s">
        <v>251</v>
      </c>
      <c r="C190" s="125" t="s">
        <v>456</v>
      </c>
      <c r="D190" s="125" t="s">
        <v>247</v>
      </c>
      <c r="E190" s="221">
        <v>40263</v>
      </c>
      <c r="F190" s="125" t="str">
        <f>CHOOSE(MONTH(E190),"January","February","March","April","May","June","July","August","September","October","November","December")</f>
        <v>March</v>
      </c>
      <c r="G190" s="125">
        <f ca="1">DATEDIF(E190,TODAY(),"Y")</f>
        <v>6</v>
      </c>
      <c r="H190" s="125" t="s">
        <v>267</v>
      </c>
      <c r="I190" s="220">
        <v>71190</v>
      </c>
      <c r="J190" s="219">
        <v>4</v>
      </c>
    </row>
    <row r="191" spans="1:10" x14ac:dyDescent="0.25">
      <c r="A191" s="222" t="s">
        <v>860</v>
      </c>
      <c r="B191" s="125" t="s">
        <v>280</v>
      </c>
      <c r="C191" s="125" t="s">
        <v>456</v>
      </c>
      <c r="D191" s="125" t="s">
        <v>256</v>
      </c>
      <c r="E191" s="221">
        <v>37043</v>
      </c>
      <c r="F191" s="125" t="str">
        <f>CHOOSE(MONTH(E191),"January","February","March","April","May","June","July","August","September","October","November","December")</f>
        <v>June</v>
      </c>
      <c r="G191" s="125">
        <f ca="1">DATEDIF(E191,TODAY(),"Y")</f>
        <v>15</v>
      </c>
      <c r="H191" s="125" t="s">
        <v>262</v>
      </c>
      <c r="I191" s="220">
        <v>45150</v>
      </c>
      <c r="J191" s="219">
        <v>1</v>
      </c>
    </row>
    <row r="192" spans="1:10" x14ac:dyDescent="0.25">
      <c r="A192" s="222" t="s">
        <v>698</v>
      </c>
      <c r="B192" s="125" t="s">
        <v>280</v>
      </c>
      <c r="C192" s="125" t="s">
        <v>456</v>
      </c>
      <c r="D192" s="125" t="s">
        <v>247</v>
      </c>
      <c r="E192" s="221">
        <v>36673</v>
      </c>
      <c r="F192" s="125" t="str">
        <f>CHOOSE(MONTH(E192),"January","February","March","April","May","June","July","August","September","October","November","December")</f>
        <v>May</v>
      </c>
      <c r="G192" s="125">
        <f ca="1">DATEDIF(E192,TODAY(),"Y")</f>
        <v>16</v>
      </c>
      <c r="H192" s="125" t="s">
        <v>283</v>
      </c>
      <c r="I192" s="220">
        <v>69410</v>
      </c>
      <c r="J192" s="219">
        <v>4</v>
      </c>
    </row>
    <row r="193" spans="1:10" x14ac:dyDescent="0.25">
      <c r="A193" s="222" t="s">
        <v>511</v>
      </c>
      <c r="B193" s="125" t="s">
        <v>271</v>
      </c>
      <c r="C193" s="125" t="s">
        <v>456</v>
      </c>
      <c r="D193" s="125" t="s">
        <v>252</v>
      </c>
      <c r="E193" s="221">
        <v>36519</v>
      </c>
      <c r="F193" s="125" t="str">
        <f>CHOOSE(MONTH(E193),"January","February","March","April","May","June","July","August","September","October","November","December")</f>
        <v>December</v>
      </c>
      <c r="G193" s="125">
        <f ca="1">DATEDIF(E193,TODAY(),"Y")</f>
        <v>16</v>
      </c>
      <c r="H193" s="125" t="s">
        <v>283</v>
      </c>
      <c r="I193" s="220">
        <v>61860</v>
      </c>
      <c r="J193" s="219">
        <v>5</v>
      </c>
    </row>
    <row r="194" spans="1:10" x14ac:dyDescent="0.25">
      <c r="A194" s="222" t="s">
        <v>821</v>
      </c>
      <c r="B194" s="125" t="s">
        <v>285</v>
      </c>
      <c r="C194" s="125" t="s">
        <v>456</v>
      </c>
      <c r="D194" s="125" t="s">
        <v>261</v>
      </c>
      <c r="E194" s="221">
        <v>37505</v>
      </c>
      <c r="F194" s="125" t="str">
        <f>CHOOSE(MONTH(E194),"January","February","March","April","May","June","July","August","September","October","November","December")</f>
        <v>September</v>
      </c>
      <c r="G194" s="125">
        <f ca="1">DATEDIF(E194,TODAY(),"Y")</f>
        <v>14</v>
      </c>
      <c r="H194" s="125" t="s">
        <v>276</v>
      </c>
      <c r="I194" s="220">
        <v>51800</v>
      </c>
      <c r="J194" s="219">
        <v>1</v>
      </c>
    </row>
    <row r="195" spans="1:10" x14ac:dyDescent="0.25">
      <c r="A195" s="223" t="s">
        <v>465</v>
      </c>
    </row>
    <row r="196" spans="1:10" x14ac:dyDescent="0.25">
      <c r="A196" s="222" t="s">
        <v>1003</v>
      </c>
      <c r="B196" s="125" t="s">
        <v>285</v>
      </c>
      <c r="C196" s="125" t="s">
        <v>465</v>
      </c>
      <c r="D196" s="125" t="s">
        <v>256</v>
      </c>
      <c r="E196" s="221">
        <v>35932</v>
      </c>
      <c r="F196" s="125" t="str">
        <f>CHOOSE(MONTH(E196),"January","February","March","April","May","June","July","August","September","October","November","December")</f>
        <v>May</v>
      </c>
      <c r="G196" s="125">
        <f ca="1">DATEDIF(E196,TODAY(),"Y")</f>
        <v>18</v>
      </c>
      <c r="H196" s="125" t="s">
        <v>283</v>
      </c>
      <c r="I196" s="220">
        <v>89740</v>
      </c>
      <c r="J196" s="219">
        <v>5</v>
      </c>
    </row>
    <row r="197" spans="1:10" x14ac:dyDescent="0.25">
      <c r="A197" s="222" t="s">
        <v>897</v>
      </c>
      <c r="B197" s="125" t="s">
        <v>285</v>
      </c>
      <c r="C197" s="125" t="s">
        <v>465</v>
      </c>
      <c r="D197" s="125" t="s">
        <v>247</v>
      </c>
      <c r="E197" s="221">
        <v>36718</v>
      </c>
      <c r="F197" s="125" t="str">
        <f>CHOOSE(MONTH(E197),"January","February","March","April","May","June","July","August","September","October","November","December")</f>
        <v>July</v>
      </c>
      <c r="G197" s="125">
        <f ca="1">DATEDIF(E197,TODAY(),"Y")</f>
        <v>16</v>
      </c>
      <c r="I197" s="220">
        <v>89520</v>
      </c>
      <c r="J197" s="219">
        <v>5</v>
      </c>
    </row>
    <row r="198" spans="1:10" x14ac:dyDescent="0.25">
      <c r="A198" s="222" t="s">
        <v>904</v>
      </c>
      <c r="B198" s="125" t="s">
        <v>285</v>
      </c>
      <c r="C198" s="125" t="s">
        <v>465</v>
      </c>
      <c r="D198" s="125" t="s">
        <v>247</v>
      </c>
      <c r="E198" s="221">
        <v>35185</v>
      </c>
      <c r="F198" s="125" t="str">
        <f>CHOOSE(MONTH(E198),"January","February","March","April","May","June","July","August","September","October","November","December")</f>
        <v>April</v>
      </c>
      <c r="G198" s="125">
        <f ca="1">DATEDIF(E198,TODAY(),"Y")</f>
        <v>20</v>
      </c>
      <c r="I198" s="220">
        <v>24410</v>
      </c>
      <c r="J198" s="219">
        <v>3</v>
      </c>
    </row>
    <row r="199" spans="1:10" x14ac:dyDescent="0.25">
      <c r="A199" s="222" t="s">
        <v>633</v>
      </c>
      <c r="B199" s="125" t="s">
        <v>285</v>
      </c>
      <c r="C199" s="125" t="s">
        <v>465</v>
      </c>
      <c r="D199" s="125" t="s">
        <v>247</v>
      </c>
      <c r="E199" s="221">
        <v>40449</v>
      </c>
      <c r="F199" s="125" t="str">
        <f>CHOOSE(MONTH(E199),"January","February","March","April","May","June","July","August","September","October","November","December")</f>
        <v>September</v>
      </c>
      <c r="G199" s="125">
        <f ca="1">DATEDIF(E199,TODAY(),"Y")</f>
        <v>6</v>
      </c>
      <c r="I199" s="220">
        <v>88840</v>
      </c>
      <c r="J199" s="219">
        <v>5</v>
      </c>
    </row>
    <row r="200" spans="1:10" x14ac:dyDescent="0.25">
      <c r="A200" s="222" t="s">
        <v>755</v>
      </c>
      <c r="B200" s="125" t="s">
        <v>271</v>
      </c>
      <c r="C200" s="125" t="s">
        <v>465</v>
      </c>
      <c r="D200" s="125" t="s">
        <v>256</v>
      </c>
      <c r="E200" s="221">
        <v>36101</v>
      </c>
      <c r="F200" s="125" t="str">
        <f>CHOOSE(MONTH(E200),"January","February","March","April","May","June","July","August","September","October","November","December")</f>
        <v>November</v>
      </c>
      <c r="G200" s="125">
        <f ca="1">DATEDIF(E200,TODAY(),"Y")</f>
        <v>18</v>
      </c>
      <c r="H200" s="125" t="s">
        <v>257</v>
      </c>
      <c r="I200" s="220">
        <v>88240</v>
      </c>
      <c r="J200" s="219">
        <v>5</v>
      </c>
    </row>
    <row r="201" spans="1:10" x14ac:dyDescent="0.25">
      <c r="A201" s="222" t="s">
        <v>320</v>
      </c>
      <c r="B201" s="125" t="s">
        <v>285</v>
      </c>
      <c r="C201" s="125" t="s">
        <v>465</v>
      </c>
      <c r="D201" s="125" t="s">
        <v>256</v>
      </c>
      <c r="E201" s="221">
        <v>38377</v>
      </c>
      <c r="F201" s="125" t="str">
        <f>CHOOSE(MONTH(E201),"January","February","March","April","May","June","July","August","September","October","November","December")</f>
        <v>January</v>
      </c>
      <c r="G201" s="125">
        <f ca="1">DATEDIF(E201,TODAY(),"Y")</f>
        <v>11</v>
      </c>
      <c r="H201" s="125" t="s">
        <v>257</v>
      </c>
      <c r="I201" s="220">
        <v>87760</v>
      </c>
      <c r="J201" s="219">
        <v>1</v>
      </c>
    </row>
    <row r="202" spans="1:10" x14ac:dyDescent="0.25">
      <c r="A202" s="222" t="s">
        <v>325</v>
      </c>
      <c r="B202" s="125" t="s">
        <v>271</v>
      </c>
      <c r="C202" s="125" t="s">
        <v>465</v>
      </c>
      <c r="D202" s="125" t="s">
        <v>261</v>
      </c>
      <c r="E202" s="221">
        <v>36269</v>
      </c>
      <c r="F202" s="125" t="str">
        <f>CHOOSE(MONTH(E202),"January","February","March","April","May","June","July","August","September","October","November","December")</f>
        <v>April</v>
      </c>
      <c r="G202" s="125">
        <f ca="1">DATEDIF(E202,TODAY(),"Y")</f>
        <v>17</v>
      </c>
      <c r="H202" s="125" t="s">
        <v>283</v>
      </c>
      <c r="I202" s="220">
        <v>48190</v>
      </c>
      <c r="J202" s="219">
        <v>1</v>
      </c>
    </row>
    <row r="203" spans="1:10" x14ac:dyDescent="0.25">
      <c r="A203" s="222" t="s">
        <v>662</v>
      </c>
      <c r="B203" s="125" t="s">
        <v>285</v>
      </c>
      <c r="C203" s="125" t="s">
        <v>465</v>
      </c>
      <c r="D203" s="125" t="s">
        <v>261</v>
      </c>
      <c r="E203" s="221">
        <v>36422</v>
      </c>
      <c r="F203" s="125" t="str">
        <f>CHOOSE(MONTH(E203),"January","February","March","April","May","June","July","August","September","October","November","December")</f>
        <v>September</v>
      </c>
      <c r="G203" s="125">
        <f ca="1">DATEDIF(E203,TODAY(),"Y")</f>
        <v>17</v>
      </c>
      <c r="H203" s="125" t="s">
        <v>283</v>
      </c>
      <c r="I203" s="220">
        <v>17270</v>
      </c>
      <c r="J203" s="219">
        <v>5</v>
      </c>
    </row>
    <row r="204" spans="1:10" x14ac:dyDescent="0.25">
      <c r="A204" s="222" t="s">
        <v>970</v>
      </c>
      <c r="B204" s="125" t="s">
        <v>271</v>
      </c>
      <c r="C204" s="125" t="s">
        <v>465</v>
      </c>
      <c r="D204" s="125" t="s">
        <v>256</v>
      </c>
      <c r="E204" s="221">
        <v>35356</v>
      </c>
      <c r="F204" s="125" t="str">
        <f>CHOOSE(MONTH(E204),"January","February","March","April","May","June","July","August","September","October","November","December")</f>
        <v>October</v>
      </c>
      <c r="G204" s="125">
        <f ca="1">DATEDIF(E204,TODAY(),"Y")</f>
        <v>20</v>
      </c>
      <c r="H204" s="125" t="s">
        <v>262</v>
      </c>
      <c r="I204" s="220">
        <v>45480</v>
      </c>
      <c r="J204" s="219">
        <v>4</v>
      </c>
    </row>
    <row r="205" spans="1:10" x14ac:dyDescent="0.25">
      <c r="A205" s="222" t="s">
        <v>992</v>
      </c>
      <c r="B205" s="125" t="s">
        <v>271</v>
      </c>
      <c r="C205" s="125" t="s">
        <v>465</v>
      </c>
      <c r="D205" s="125" t="s">
        <v>256</v>
      </c>
      <c r="E205" s="221">
        <v>35156</v>
      </c>
      <c r="F205" s="125" t="str">
        <f>CHOOSE(MONTH(E205),"January","February","March","April","May","June","July","August","September","October","November","December")</f>
        <v>April</v>
      </c>
      <c r="G205" s="125">
        <f ca="1">DATEDIF(E205,TODAY(),"Y")</f>
        <v>20</v>
      </c>
      <c r="H205" s="125" t="s">
        <v>283</v>
      </c>
      <c r="I205" s="220">
        <v>86260</v>
      </c>
      <c r="J205" s="219">
        <v>3</v>
      </c>
    </row>
    <row r="206" spans="1:10" x14ac:dyDescent="0.25">
      <c r="A206" s="222" t="s">
        <v>377</v>
      </c>
      <c r="B206" s="125" t="s">
        <v>285</v>
      </c>
      <c r="C206" s="125" t="s">
        <v>465</v>
      </c>
      <c r="D206" s="125" t="s">
        <v>256</v>
      </c>
      <c r="E206" s="221">
        <v>38832</v>
      </c>
      <c r="F206" s="125" t="str">
        <f>CHOOSE(MONTH(E206),"January","February","March","April","May","June","July","August","September","October","November","December")</f>
        <v>April</v>
      </c>
      <c r="G206" s="125">
        <f ca="1">DATEDIF(E206,TODAY(),"Y")</f>
        <v>10</v>
      </c>
      <c r="H206" s="125" t="s">
        <v>276</v>
      </c>
      <c r="I206" s="220">
        <v>29420</v>
      </c>
      <c r="J206" s="219">
        <v>5</v>
      </c>
    </row>
    <row r="207" spans="1:10" x14ac:dyDescent="0.25">
      <c r="A207" s="222" t="s">
        <v>818</v>
      </c>
      <c r="B207" s="125" t="s">
        <v>280</v>
      </c>
      <c r="C207" s="125" t="s">
        <v>465</v>
      </c>
      <c r="D207" s="125" t="s">
        <v>256</v>
      </c>
      <c r="E207" s="221">
        <v>38377</v>
      </c>
      <c r="F207" s="125" t="str">
        <f>CHOOSE(MONTH(E207),"January","February","March","April","May","June","July","August","September","October","November","December")</f>
        <v>January</v>
      </c>
      <c r="G207" s="125">
        <f ca="1">DATEDIF(E207,TODAY(),"Y")</f>
        <v>11</v>
      </c>
      <c r="H207" s="125" t="s">
        <v>257</v>
      </c>
      <c r="I207" s="220">
        <v>41060</v>
      </c>
      <c r="J207" s="219">
        <v>3</v>
      </c>
    </row>
    <row r="208" spans="1:10" x14ac:dyDescent="0.25">
      <c r="A208" s="222" t="s">
        <v>1014</v>
      </c>
      <c r="B208" s="125" t="s">
        <v>271</v>
      </c>
      <c r="C208" s="125" t="s">
        <v>465</v>
      </c>
      <c r="D208" s="125" t="s">
        <v>247</v>
      </c>
      <c r="E208" s="221">
        <v>39545</v>
      </c>
      <c r="F208" s="125" t="str">
        <f>CHOOSE(MONTH(E208),"January","February","March","April","May","June","July","August","September","October","November","December")</f>
        <v>April</v>
      </c>
      <c r="G208" s="125">
        <f ca="1">DATEDIF(E208,TODAY(),"Y")</f>
        <v>8</v>
      </c>
      <c r="I208" s="220">
        <v>84170</v>
      </c>
      <c r="J208" s="219">
        <v>2</v>
      </c>
    </row>
    <row r="209" spans="1:10" x14ac:dyDescent="0.25">
      <c r="A209" s="222" t="s">
        <v>396</v>
      </c>
      <c r="B209" s="125" t="s">
        <v>271</v>
      </c>
      <c r="C209" s="125" t="s">
        <v>465</v>
      </c>
      <c r="D209" s="125" t="s">
        <v>247</v>
      </c>
      <c r="E209" s="221">
        <v>33819</v>
      </c>
      <c r="F209" s="125" t="str">
        <f>CHOOSE(MONTH(E209),"January","February","March","April","May","June","July","August","September","October","November","December")</f>
        <v>August</v>
      </c>
      <c r="G209" s="125">
        <f ca="1">DATEDIF(E209,TODAY(),"Y")</f>
        <v>24</v>
      </c>
      <c r="I209" s="220">
        <v>49530</v>
      </c>
      <c r="J209" s="219">
        <v>2</v>
      </c>
    </row>
    <row r="210" spans="1:10" x14ac:dyDescent="0.25">
      <c r="A210" s="222" t="s">
        <v>685</v>
      </c>
      <c r="B210" s="125" t="s">
        <v>245</v>
      </c>
      <c r="C210" s="125" t="s">
        <v>465</v>
      </c>
      <c r="D210" s="125" t="s">
        <v>256</v>
      </c>
      <c r="E210" s="221">
        <v>35020</v>
      </c>
      <c r="F210" s="125" t="str">
        <f>CHOOSE(MONTH(E210),"January","February","March","April","May","June","July","August","September","October","November","December")</f>
        <v>November</v>
      </c>
      <c r="G210" s="125">
        <f ca="1">DATEDIF(E210,TODAY(),"Y")</f>
        <v>20</v>
      </c>
      <c r="H210" s="125" t="s">
        <v>262</v>
      </c>
      <c r="I210" s="220">
        <v>38940</v>
      </c>
      <c r="J210" s="219">
        <v>2</v>
      </c>
    </row>
    <row r="211" spans="1:10" x14ac:dyDescent="0.25">
      <c r="A211" s="222" t="s">
        <v>735</v>
      </c>
      <c r="B211" s="125" t="s">
        <v>271</v>
      </c>
      <c r="C211" s="125" t="s">
        <v>465</v>
      </c>
      <c r="D211" s="125" t="s">
        <v>256</v>
      </c>
      <c r="E211" s="221">
        <v>34151</v>
      </c>
      <c r="F211" s="125" t="str">
        <f>CHOOSE(MONTH(E211),"January","February","March","April","May","June","July","August","September","October","November","December")</f>
        <v>July</v>
      </c>
      <c r="G211" s="125">
        <f ca="1">DATEDIF(E211,TODAY(),"Y")</f>
        <v>23</v>
      </c>
      <c r="H211" s="125" t="s">
        <v>283</v>
      </c>
      <c r="I211" s="220">
        <v>81980</v>
      </c>
      <c r="J211" s="219">
        <v>2</v>
      </c>
    </row>
    <row r="212" spans="1:10" x14ac:dyDescent="0.25">
      <c r="A212" s="222" t="s">
        <v>351</v>
      </c>
      <c r="B212" s="125" t="s">
        <v>251</v>
      </c>
      <c r="C212" s="125" t="s">
        <v>465</v>
      </c>
      <c r="D212" s="125" t="s">
        <v>256</v>
      </c>
      <c r="E212" s="221">
        <v>36198</v>
      </c>
      <c r="F212" s="125" t="str">
        <f>CHOOSE(MONTH(E212),"January","February","March","April","May","June","July","August","September","October","November","December")</f>
        <v>February</v>
      </c>
      <c r="G212" s="125">
        <f ca="1">DATEDIF(E212,TODAY(),"Y")</f>
        <v>17</v>
      </c>
      <c r="H212" s="125" t="s">
        <v>276</v>
      </c>
      <c r="I212" s="220">
        <v>81400</v>
      </c>
      <c r="J212" s="219">
        <v>2</v>
      </c>
    </row>
    <row r="213" spans="1:10" x14ac:dyDescent="0.25">
      <c r="A213" s="222" t="s">
        <v>493</v>
      </c>
      <c r="B213" s="125" t="s">
        <v>266</v>
      </c>
      <c r="C213" s="125" t="s">
        <v>465</v>
      </c>
      <c r="D213" s="125" t="s">
        <v>256</v>
      </c>
      <c r="E213" s="221">
        <v>40175</v>
      </c>
      <c r="F213" s="125" t="str">
        <f>CHOOSE(MONTH(E213),"January","February","March","April","May","June","July","August","September","October","November","December")</f>
        <v>December</v>
      </c>
      <c r="G213" s="125">
        <f ca="1">DATEDIF(E213,TODAY(),"Y")</f>
        <v>6</v>
      </c>
      <c r="H213" s="125" t="s">
        <v>267</v>
      </c>
      <c r="I213" s="220">
        <v>34690</v>
      </c>
      <c r="J213" s="219">
        <v>2</v>
      </c>
    </row>
    <row r="214" spans="1:10" x14ac:dyDescent="0.25">
      <c r="A214" s="222" t="s">
        <v>573</v>
      </c>
      <c r="B214" s="125" t="s">
        <v>251</v>
      </c>
      <c r="C214" s="125" t="s">
        <v>465</v>
      </c>
      <c r="D214" s="125" t="s">
        <v>256</v>
      </c>
      <c r="E214" s="221">
        <v>34483</v>
      </c>
      <c r="F214" s="125" t="str">
        <f>CHOOSE(MONTH(E214),"January","February","March","April","May","June","July","August","September","October","November","December")</f>
        <v>May</v>
      </c>
      <c r="G214" s="125">
        <f ca="1">DATEDIF(E214,TODAY(),"Y")</f>
        <v>22</v>
      </c>
      <c r="H214" s="125" t="s">
        <v>257</v>
      </c>
      <c r="I214" s="220">
        <v>81010</v>
      </c>
      <c r="J214" s="219">
        <v>4</v>
      </c>
    </row>
    <row r="215" spans="1:10" x14ac:dyDescent="0.25">
      <c r="A215" s="222" t="s">
        <v>657</v>
      </c>
      <c r="B215" s="125" t="s">
        <v>266</v>
      </c>
      <c r="C215" s="125" t="s">
        <v>465</v>
      </c>
      <c r="D215" s="125" t="s">
        <v>247</v>
      </c>
      <c r="E215" s="221">
        <v>34671</v>
      </c>
      <c r="F215" s="125" t="str">
        <f>CHOOSE(MONTH(E215),"January","February","March","April","May","June","July","August","September","October","November","December")</f>
        <v>December</v>
      </c>
      <c r="G215" s="125">
        <f ca="1">DATEDIF(E215,TODAY(),"Y")</f>
        <v>21</v>
      </c>
      <c r="I215" s="220">
        <v>80690</v>
      </c>
      <c r="J215" s="219">
        <v>3</v>
      </c>
    </row>
    <row r="216" spans="1:10" x14ac:dyDescent="0.25">
      <c r="A216" s="222" t="s">
        <v>1019</v>
      </c>
      <c r="B216" s="125" t="s">
        <v>251</v>
      </c>
      <c r="C216" s="125" t="s">
        <v>465</v>
      </c>
      <c r="D216" s="125" t="s">
        <v>247</v>
      </c>
      <c r="E216" s="221">
        <v>38912</v>
      </c>
      <c r="F216" s="125" t="str">
        <f>CHOOSE(MONTH(E216),"January","February","March","April","May","June","July","August","September","October","November","December")</f>
        <v>July</v>
      </c>
      <c r="G216" s="125">
        <f ca="1">DATEDIF(E216,TODAY(),"Y")</f>
        <v>10</v>
      </c>
      <c r="I216" s="220">
        <v>80330</v>
      </c>
      <c r="J216" s="219">
        <v>4</v>
      </c>
    </row>
    <row r="217" spans="1:10" x14ac:dyDescent="0.25">
      <c r="A217" s="222" t="s">
        <v>614</v>
      </c>
      <c r="B217" s="125" t="s">
        <v>271</v>
      </c>
      <c r="C217" s="125" t="s">
        <v>465</v>
      </c>
      <c r="D217" s="125" t="s">
        <v>256</v>
      </c>
      <c r="E217" s="221">
        <v>35520</v>
      </c>
      <c r="F217" s="125" t="str">
        <f>CHOOSE(MONTH(E217),"January","February","March","April","May","June","July","August","September","October","November","December")</f>
        <v>March</v>
      </c>
      <c r="G217" s="125">
        <f ca="1">DATEDIF(E217,TODAY(),"Y")</f>
        <v>19</v>
      </c>
      <c r="H217" s="125" t="s">
        <v>257</v>
      </c>
      <c r="I217" s="220">
        <v>79730</v>
      </c>
      <c r="J217" s="219">
        <v>2</v>
      </c>
    </row>
    <row r="218" spans="1:10" x14ac:dyDescent="0.25">
      <c r="A218" s="222" t="s">
        <v>730</v>
      </c>
      <c r="B218" s="125" t="s">
        <v>285</v>
      </c>
      <c r="C218" s="125" t="s">
        <v>465</v>
      </c>
      <c r="D218" s="125" t="s">
        <v>261</v>
      </c>
      <c r="E218" s="221">
        <v>36604</v>
      </c>
      <c r="F218" s="125" t="str">
        <f>CHOOSE(MONTH(E218),"January","February","March","April","May","June","July","August","September","October","November","December")</f>
        <v>March</v>
      </c>
      <c r="G218" s="125">
        <f ca="1">DATEDIF(E218,TODAY(),"Y")</f>
        <v>16</v>
      </c>
      <c r="H218" s="125" t="s">
        <v>283</v>
      </c>
      <c r="I218" s="220">
        <v>46710</v>
      </c>
      <c r="J218" s="219">
        <v>3</v>
      </c>
    </row>
    <row r="219" spans="1:10" x14ac:dyDescent="0.25">
      <c r="A219" s="222" t="s">
        <v>564</v>
      </c>
      <c r="B219" s="125" t="s">
        <v>285</v>
      </c>
      <c r="C219" s="125" t="s">
        <v>465</v>
      </c>
      <c r="D219" s="125" t="s">
        <v>247</v>
      </c>
      <c r="E219" s="221">
        <v>33774</v>
      </c>
      <c r="F219" s="125" t="str">
        <f>CHOOSE(MONTH(E219),"January","February","March","April","May","June","July","August","September","October","November","December")</f>
        <v>June</v>
      </c>
      <c r="G219" s="125">
        <f ca="1">DATEDIF(E219,TODAY(),"Y")</f>
        <v>24</v>
      </c>
      <c r="I219" s="220">
        <v>32190</v>
      </c>
      <c r="J219" s="219">
        <v>3</v>
      </c>
    </row>
    <row r="220" spans="1:10" x14ac:dyDescent="0.25">
      <c r="A220" s="222" t="s">
        <v>355</v>
      </c>
      <c r="B220" s="125" t="s">
        <v>245</v>
      </c>
      <c r="C220" s="125" t="s">
        <v>465</v>
      </c>
      <c r="D220" s="125" t="s">
        <v>247</v>
      </c>
      <c r="E220" s="221">
        <v>34053</v>
      </c>
      <c r="F220" s="125" t="str">
        <f>CHOOSE(MONTH(E220),"January","February","March","April","May","June","July","August","September","October","November","December")</f>
        <v>March</v>
      </c>
      <c r="G220" s="125">
        <f ca="1">DATEDIF(E220,TODAY(),"Y")</f>
        <v>23</v>
      </c>
      <c r="I220" s="220">
        <v>79220</v>
      </c>
      <c r="J220" s="219">
        <v>4</v>
      </c>
    </row>
    <row r="221" spans="1:10" x14ac:dyDescent="0.25">
      <c r="A221" s="222" t="s">
        <v>545</v>
      </c>
      <c r="B221" s="125" t="s">
        <v>271</v>
      </c>
      <c r="C221" s="125" t="s">
        <v>465</v>
      </c>
      <c r="D221" s="125" t="s">
        <v>256</v>
      </c>
      <c r="E221" s="221">
        <v>33721</v>
      </c>
      <c r="F221" s="125" t="str">
        <f>CHOOSE(MONTH(E221),"January","February","March","April","May","June","July","August","September","October","November","December")</f>
        <v>April</v>
      </c>
      <c r="G221" s="125">
        <f ca="1">DATEDIF(E221,TODAY(),"Y")</f>
        <v>24</v>
      </c>
      <c r="H221" s="125" t="s">
        <v>283</v>
      </c>
      <c r="I221" s="220">
        <v>26190</v>
      </c>
      <c r="J221" s="219">
        <v>5</v>
      </c>
    </row>
    <row r="222" spans="1:10" x14ac:dyDescent="0.25">
      <c r="A222" s="222" t="s">
        <v>483</v>
      </c>
      <c r="B222" s="125" t="s">
        <v>251</v>
      </c>
      <c r="C222" s="125" t="s">
        <v>465</v>
      </c>
      <c r="D222" s="125" t="s">
        <v>256</v>
      </c>
      <c r="E222" s="221">
        <v>35801</v>
      </c>
      <c r="F222" s="125" t="str">
        <f>CHOOSE(MONTH(E222),"January","February","March","April","May","June","July","August","September","October","November","December")</f>
        <v>January</v>
      </c>
      <c r="G222" s="125">
        <f ca="1">DATEDIF(E222,TODAY(),"Y")</f>
        <v>18</v>
      </c>
      <c r="H222" s="125" t="s">
        <v>257</v>
      </c>
      <c r="I222" s="220">
        <v>78570</v>
      </c>
      <c r="J222" s="219">
        <v>1</v>
      </c>
    </row>
    <row r="223" spans="1:10" x14ac:dyDescent="0.25">
      <c r="A223" s="222" t="s">
        <v>1028</v>
      </c>
      <c r="B223" s="125" t="s">
        <v>285</v>
      </c>
      <c r="C223" s="125" t="s">
        <v>465</v>
      </c>
      <c r="D223" s="125" t="s">
        <v>247</v>
      </c>
      <c r="E223" s="221">
        <v>38507</v>
      </c>
      <c r="F223" s="125" t="str">
        <f>CHOOSE(MONTH(E223),"January","February","March","April","May","June","July","August","September","October","November","December")</f>
        <v>June</v>
      </c>
      <c r="G223" s="125">
        <f ca="1">DATEDIF(E223,TODAY(),"Y")</f>
        <v>11</v>
      </c>
      <c r="I223" s="220">
        <v>40940</v>
      </c>
      <c r="J223" s="219">
        <v>2</v>
      </c>
    </row>
    <row r="224" spans="1:10" x14ac:dyDescent="0.25">
      <c r="A224" s="222" t="s">
        <v>881</v>
      </c>
      <c r="B224" s="125" t="s">
        <v>245</v>
      </c>
      <c r="C224" s="125" t="s">
        <v>465</v>
      </c>
      <c r="D224" s="125" t="s">
        <v>247</v>
      </c>
      <c r="E224" s="221">
        <v>39830</v>
      </c>
      <c r="F224" s="125" t="str">
        <f>CHOOSE(MONTH(E224),"January","February","March","April","May","June","July","August","September","October","November","December")</f>
        <v>January</v>
      </c>
      <c r="G224" s="125">
        <f ca="1">DATEDIF(E224,TODAY(),"Y")</f>
        <v>7</v>
      </c>
      <c r="I224" s="220">
        <v>78520</v>
      </c>
      <c r="J224" s="219">
        <v>4</v>
      </c>
    </row>
    <row r="225" spans="1:10" x14ac:dyDescent="0.25">
      <c r="A225" s="222" t="s">
        <v>603</v>
      </c>
      <c r="B225" s="125" t="s">
        <v>280</v>
      </c>
      <c r="C225" s="125" t="s">
        <v>465</v>
      </c>
      <c r="D225" s="125" t="s">
        <v>256</v>
      </c>
      <c r="E225" s="221">
        <v>39972</v>
      </c>
      <c r="F225" s="125" t="str">
        <f>CHOOSE(MONTH(E225),"January","February","March","April","May","June","July","August","September","October","November","December")</f>
        <v>June</v>
      </c>
      <c r="G225" s="125">
        <f ca="1">DATEDIF(E225,TODAY(),"Y")</f>
        <v>7</v>
      </c>
      <c r="H225" s="125" t="s">
        <v>257</v>
      </c>
      <c r="I225" s="220">
        <v>78170</v>
      </c>
      <c r="J225" s="219">
        <v>5</v>
      </c>
    </row>
    <row r="226" spans="1:10" x14ac:dyDescent="0.25">
      <c r="A226" s="222" t="s">
        <v>695</v>
      </c>
      <c r="B226" s="125" t="s">
        <v>285</v>
      </c>
      <c r="C226" s="125" t="s">
        <v>465</v>
      </c>
      <c r="D226" s="125" t="s">
        <v>252</v>
      </c>
      <c r="E226" s="221">
        <v>35982</v>
      </c>
      <c r="F226" s="125" t="str">
        <f>CHOOSE(MONTH(E226),"January","February","March","April","May","June","July","August","September","October","November","December")</f>
        <v>July</v>
      </c>
      <c r="G226" s="125">
        <f ca="1">DATEDIF(E226,TODAY(),"Y")</f>
        <v>18</v>
      </c>
      <c r="I226" s="220">
        <v>8904</v>
      </c>
      <c r="J226" s="219">
        <v>3</v>
      </c>
    </row>
    <row r="227" spans="1:10" x14ac:dyDescent="0.25">
      <c r="A227" s="222" t="s">
        <v>854</v>
      </c>
      <c r="B227" s="125" t="s">
        <v>285</v>
      </c>
      <c r="C227" s="125" t="s">
        <v>465</v>
      </c>
      <c r="D227" s="125" t="s">
        <v>252</v>
      </c>
      <c r="E227" s="221">
        <v>37730</v>
      </c>
      <c r="F227" s="125" t="str">
        <f>CHOOSE(MONTH(E227),"January","February","March","April","May","June","July","August","September","October","November","December")</f>
        <v>April</v>
      </c>
      <c r="G227" s="125">
        <f ca="1">DATEDIF(E227,TODAY(),"Y")</f>
        <v>13</v>
      </c>
      <c r="I227" s="220">
        <v>8892</v>
      </c>
      <c r="J227" s="219">
        <v>1</v>
      </c>
    </row>
    <row r="228" spans="1:10" x14ac:dyDescent="0.25">
      <c r="A228" s="222" t="s">
        <v>886</v>
      </c>
      <c r="B228" s="125" t="s">
        <v>271</v>
      </c>
      <c r="C228" s="125" t="s">
        <v>465</v>
      </c>
      <c r="D228" s="125" t="s">
        <v>256</v>
      </c>
      <c r="E228" s="221">
        <v>34404</v>
      </c>
      <c r="F228" s="125" t="str">
        <f>CHOOSE(MONTH(E228),"January","February","March","April","May","June","July","August","September","October","November","December")</f>
        <v>March</v>
      </c>
      <c r="G228" s="125">
        <f ca="1">DATEDIF(E228,TODAY(),"Y")</f>
        <v>22</v>
      </c>
      <c r="H228" s="125" t="s">
        <v>283</v>
      </c>
      <c r="I228" s="220">
        <v>24710</v>
      </c>
      <c r="J228" s="219">
        <v>2</v>
      </c>
    </row>
    <row r="229" spans="1:10" x14ac:dyDescent="0.25">
      <c r="A229" s="222" t="s">
        <v>738</v>
      </c>
      <c r="B229" s="125" t="s">
        <v>266</v>
      </c>
      <c r="C229" s="125" t="s">
        <v>465</v>
      </c>
      <c r="D229" s="125" t="s">
        <v>256</v>
      </c>
      <c r="E229" s="221">
        <v>35830</v>
      </c>
      <c r="F229" s="125" t="str">
        <f>CHOOSE(MONTH(E229),"January","February","March","April","May","June","July","August","September","October","November","December")</f>
        <v>February</v>
      </c>
      <c r="G229" s="125">
        <f ca="1">DATEDIF(E229,TODAY(),"Y")</f>
        <v>18</v>
      </c>
      <c r="H229" s="125" t="s">
        <v>267</v>
      </c>
      <c r="I229" s="220">
        <v>35460</v>
      </c>
      <c r="J229" s="219">
        <v>5</v>
      </c>
    </row>
    <row r="230" spans="1:10" x14ac:dyDescent="0.25">
      <c r="A230" s="222" t="s">
        <v>940</v>
      </c>
      <c r="B230" s="125" t="s">
        <v>285</v>
      </c>
      <c r="C230" s="125" t="s">
        <v>465</v>
      </c>
      <c r="D230" s="125" t="s">
        <v>256</v>
      </c>
      <c r="E230" s="221">
        <v>35526</v>
      </c>
      <c r="F230" s="125" t="str">
        <f>CHOOSE(MONTH(E230),"January","February","March","April","May","June","July","August","September","October","November","December")</f>
        <v>April</v>
      </c>
      <c r="G230" s="125">
        <f ca="1">DATEDIF(E230,TODAY(),"Y")</f>
        <v>19</v>
      </c>
      <c r="H230" s="125" t="s">
        <v>283</v>
      </c>
      <c r="I230" s="220">
        <v>32390</v>
      </c>
      <c r="J230" s="219">
        <v>2</v>
      </c>
    </row>
    <row r="231" spans="1:10" x14ac:dyDescent="0.25">
      <c r="A231" s="222" t="s">
        <v>724</v>
      </c>
      <c r="B231" s="125" t="s">
        <v>245</v>
      </c>
      <c r="C231" s="125" t="s">
        <v>465</v>
      </c>
      <c r="D231" s="125" t="s">
        <v>256</v>
      </c>
      <c r="E231" s="221">
        <v>36698</v>
      </c>
      <c r="F231" s="125" t="str">
        <f>CHOOSE(MONTH(E231),"January","February","March","April","May","June","July","August","September","October","November","December")</f>
        <v>June</v>
      </c>
      <c r="G231" s="125">
        <f ca="1">DATEDIF(E231,TODAY(),"Y")</f>
        <v>16</v>
      </c>
      <c r="H231" s="125" t="s">
        <v>267</v>
      </c>
      <c r="I231" s="220">
        <v>23650</v>
      </c>
      <c r="J231" s="219">
        <v>1</v>
      </c>
    </row>
    <row r="232" spans="1:10" x14ac:dyDescent="0.25">
      <c r="A232" s="222" t="s">
        <v>857</v>
      </c>
      <c r="B232" s="125" t="s">
        <v>266</v>
      </c>
      <c r="C232" s="125" t="s">
        <v>465</v>
      </c>
      <c r="D232" s="125" t="s">
        <v>252</v>
      </c>
      <c r="E232" s="221">
        <v>39747</v>
      </c>
      <c r="F232" s="125" t="str">
        <f>CHOOSE(MONTH(E232),"January","February","March","April","May","June","July","August","September","October","November","December")</f>
        <v>October</v>
      </c>
      <c r="G232" s="125">
        <f ca="1">DATEDIF(E232,TODAY(),"Y")</f>
        <v>8</v>
      </c>
      <c r="I232" s="220">
        <v>10572</v>
      </c>
      <c r="J232" s="219">
        <v>4</v>
      </c>
    </row>
    <row r="233" spans="1:10" x14ac:dyDescent="0.25">
      <c r="A233" s="222" t="s">
        <v>478</v>
      </c>
      <c r="B233" s="125" t="s">
        <v>251</v>
      </c>
      <c r="C233" s="125" t="s">
        <v>465</v>
      </c>
      <c r="D233" s="125" t="s">
        <v>247</v>
      </c>
      <c r="E233" s="221">
        <v>35927</v>
      </c>
      <c r="F233" s="125" t="str">
        <f>CHOOSE(MONTH(E233),"January","February","March","April","May","June","July","August","September","October","November","December")</f>
        <v>May</v>
      </c>
      <c r="G233" s="125">
        <f ca="1">DATEDIF(E233,TODAY(),"Y")</f>
        <v>18</v>
      </c>
      <c r="I233" s="220">
        <v>76910</v>
      </c>
      <c r="J233" s="219">
        <v>1</v>
      </c>
    </row>
    <row r="234" spans="1:10" x14ac:dyDescent="0.25">
      <c r="A234" s="222" t="s">
        <v>899</v>
      </c>
      <c r="B234" s="125" t="s">
        <v>271</v>
      </c>
      <c r="C234" s="125" t="s">
        <v>465</v>
      </c>
      <c r="D234" s="125" t="s">
        <v>247</v>
      </c>
      <c r="E234" s="221">
        <v>40470</v>
      </c>
      <c r="F234" s="125" t="str">
        <f>CHOOSE(MONTH(E234),"January","February","March","April","May","June","July","August","September","October","November","December")</f>
        <v>October</v>
      </c>
      <c r="G234" s="125">
        <f ca="1">DATEDIF(E234,TODAY(),"Y")</f>
        <v>6</v>
      </c>
      <c r="I234" s="220">
        <v>37840</v>
      </c>
      <c r="J234" s="219">
        <v>1</v>
      </c>
    </row>
    <row r="235" spans="1:10" x14ac:dyDescent="0.25">
      <c r="A235" s="222" t="s">
        <v>489</v>
      </c>
      <c r="B235" s="125" t="s">
        <v>285</v>
      </c>
      <c r="C235" s="125" t="s">
        <v>465</v>
      </c>
      <c r="D235" s="125" t="s">
        <v>256</v>
      </c>
      <c r="E235" s="221">
        <v>36707</v>
      </c>
      <c r="F235" s="125" t="str">
        <f>CHOOSE(MONTH(E235),"January","February","March","April","May","June","July","August","September","October","November","December")</f>
        <v>June</v>
      </c>
      <c r="G235" s="125">
        <f ca="1">DATEDIF(E235,TODAY(),"Y")</f>
        <v>16</v>
      </c>
      <c r="H235" s="125" t="s">
        <v>276</v>
      </c>
      <c r="I235" s="220">
        <v>38870</v>
      </c>
      <c r="J235" s="219">
        <v>2</v>
      </c>
    </row>
    <row r="236" spans="1:10" x14ac:dyDescent="0.25">
      <c r="A236" s="222" t="s">
        <v>303</v>
      </c>
      <c r="B236" s="125" t="s">
        <v>251</v>
      </c>
      <c r="C236" s="125" t="s">
        <v>465</v>
      </c>
      <c r="D236" s="125" t="s">
        <v>256</v>
      </c>
      <c r="E236" s="221">
        <v>35311</v>
      </c>
      <c r="F236" s="125" t="str">
        <f>CHOOSE(MONTH(E236),"January","February","March","April","May","June","July","August","September","October","November","December")</f>
        <v>September</v>
      </c>
      <c r="G236" s="125">
        <f ca="1">DATEDIF(E236,TODAY(),"Y")</f>
        <v>20</v>
      </c>
      <c r="H236" s="125" t="s">
        <v>267</v>
      </c>
      <c r="I236" s="220">
        <v>39520</v>
      </c>
      <c r="J236" s="219">
        <v>5</v>
      </c>
    </row>
    <row r="237" spans="1:10" x14ac:dyDescent="0.25">
      <c r="A237" s="222" t="s">
        <v>507</v>
      </c>
      <c r="B237" s="125" t="s">
        <v>245</v>
      </c>
      <c r="C237" s="125" t="s">
        <v>465</v>
      </c>
      <c r="D237" s="125" t="s">
        <v>256</v>
      </c>
      <c r="E237" s="221">
        <v>38809</v>
      </c>
      <c r="F237" s="125" t="str">
        <f>CHOOSE(MONTH(E237),"January","February","March","April","May","June","July","August","September","October","November","December")</f>
        <v>April</v>
      </c>
      <c r="G237" s="125">
        <f ca="1">DATEDIF(E237,TODAY(),"Y")</f>
        <v>10</v>
      </c>
      <c r="H237" s="125" t="s">
        <v>262</v>
      </c>
      <c r="I237" s="220">
        <v>76584</v>
      </c>
      <c r="J237" s="219">
        <v>1</v>
      </c>
    </row>
    <row r="238" spans="1:10" x14ac:dyDescent="0.25">
      <c r="A238" s="222" t="s">
        <v>912</v>
      </c>
      <c r="B238" s="125" t="s">
        <v>285</v>
      </c>
      <c r="C238" s="125" t="s">
        <v>465</v>
      </c>
      <c r="D238" s="125" t="s">
        <v>256</v>
      </c>
      <c r="E238" s="221">
        <v>40203</v>
      </c>
      <c r="F238" s="125" t="str">
        <f>CHOOSE(MONTH(E238),"January","February","March","April","May","June","July","August","September","October","November","December")</f>
        <v>January</v>
      </c>
      <c r="G238" s="125">
        <f ca="1">DATEDIF(E238,TODAY(),"Y")</f>
        <v>6</v>
      </c>
      <c r="H238" s="125" t="s">
        <v>257</v>
      </c>
      <c r="I238" s="220">
        <v>35600</v>
      </c>
      <c r="J238" s="219">
        <v>5</v>
      </c>
    </row>
    <row r="239" spans="1:10" x14ac:dyDescent="0.25">
      <c r="A239" s="222" t="s">
        <v>691</v>
      </c>
      <c r="B239" s="125" t="s">
        <v>271</v>
      </c>
      <c r="C239" s="125" t="s">
        <v>465</v>
      </c>
      <c r="D239" s="125" t="s">
        <v>256</v>
      </c>
      <c r="E239" s="221">
        <v>36535</v>
      </c>
      <c r="F239" s="125" t="str">
        <f>CHOOSE(MONTH(E239),"January","February","March","April","May","June","July","August","September","October","November","December")</f>
        <v>January</v>
      </c>
      <c r="G239" s="125">
        <f ca="1">DATEDIF(E239,TODAY(),"Y")</f>
        <v>16</v>
      </c>
      <c r="H239" s="125" t="s">
        <v>257</v>
      </c>
      <c r="I239" s="220">
        <v>76192</v>
      </c>
      <c r="J239" s="219">
        <v>4</v>
      </c>
    </row>
    <row r="240" spans="1:10" x14ac:dyDescent="0.25">
      <c r="A240" s="222" t="s">
        <v>878</v>
      </c>
      <c r="B240" s="125" t="s">
        <v>266</v>
      </c>
      <c r="C240" s="125" t="s">
        <v>465</v>
      </c>
      <c r="D240" s="125" t="s">
        <v>247</v>
      </c>
      <c r="E240" s="221">
        <v>37820</v>
      </c>
      <c r="F240" s="125" t="str">
        <f>CHOOSE(MONTH(E240),"January","February","March","April","May","June","July","August","September","October","November","December")</f>
        <v>July</v>
      </c>
      <c r="G240" s="125">
        <f ca="1">DATEDIF(E240,TODAY(),"Y")</f>
        <v>13</v>
      </c>
      <c r="I240" s="220">
        <v>75420</v>
      </c>
      <c r="J240" s="219">
        <v>1</v>
      </c>
    </row>
    <row r="241" spans="1:10" x14ac:dyDescent="0.25">
      <c r="A241" s="222" t="s">
        <v>293</v>
      </c>
      <c r="B241" s="125" t="s">
        <v>271</v>
      </c>
      <c r="C241" s="125" t="s">
        <v>465</v>
      </c>
      <c r="D241" s="125" t="s">
        <v>256</v>
      </c>
      <c r="E241" s="221">
        <v>37943</v>
      </c>
      <c r="F241" s="125" t="str">
        <f>CHOOSE(MONTH(E241),"January","February","March","April","May","June","July","August","September","October","November","December")</f>
        <v>November</v>
      </c>
      <c r="G241" s="125">
        <f ca="1">DATEDIF(E241,TODAY(),"Y")</f>
        <v>12</v>
      </c>
      <c r="H241" s="125" t="s">
        <v>257</v>
      </c>
      <c r="I241" s="220">
        <v>75176</v>
      </c>
      <c r="J241" s="219">
        <v>3</v>
      </c>
    </row>
    <row r="242" spans="1:10" x14ac:dyDescent="0.25">
      <c r="A242" s="222" t="s">
        <v>751</v>
      </c>
      <c r="B242" s="125" t="s">
        <v>271</v>
      </c>
      <c r="C242" s="125" t="s">
        <v>465</v>
      </c>
      <c r="D242" s="125" t="s">
        <v>256</v>
      </c>
      <c r="E242" s="221">
        <v>36009</v>
      </c>
      <c r="F242" s="125" t="str">
        <f>CHOOSE(MONTH(E242),"January","February","March","April","May","June","July","August","September","October","November","December")</f>
        <v>August</v>
      </c>
      <c r="G242" s="125">
        <f ca="1">DATEDIF(E242,TODAY(),"Y")</f>
        <v>18</v>
      </c>
      <c r="H242" s="125" t="s">
        <v>257</v>
      </c>
      <c r="I242" s="220">
        <v>75120</v>
      </c>
      <c r="J242" s="219">
        <v>5</v>
      </c>
    </row>
    <row r="243" spans="1:10" x14ac:dyDescent="0.25">
      <c r="A243" s="222" t="s">
        <v>862</v>
      </c>
      <c r="B243" s="125" t="s">
        <v>285</v>
      </c>
      <c r="C243" s="125" t="s">
        <v>465</v>
      </c>
      <c r="D243" s="125" t="s">
        <v>256</v>
      </c>
      <c r="E243" s="221">
        <v>40603</v>
      </c>
      <c r="F243" s="125" t="str">
        <f>CHOOSE(MONTH(E243),"January","February","March","April","May","June","July","August","September","October","November","December")</f>
        <v>March</v>
      </c>
      <c r="G243" s="125">
        <f ca="1">DATEDIF(E243,TODAY(),"Y")</f>
        <v>5</v>
      </c>
      <c r="H243" s="125" t="s">
        <v>267</v>
      </c>
      <c r="I243" s="220">
        <v>44260</v>
      </c>
      <c r="J243" s="219">
        <v>1</v>
      </c>
    </row>
    <row r="244" spans="1:10" x14ac:dyDescent="0.25">
      <c r="A244" s="222" t="s">
        <v>550</v>
      </c>
      <c r="B244" s="125" t="s">
        <v>280</v>
      </c>
      <c r="C244" s="125" t="s">
        <v>465</v>
      </c>
      <c r="D244" s="125" t="s">
        <v>256</v>
      </c>
      <c r="E244" s="221">
        <v>36084</v>
      </c>
      <c r="F244" s="125" t="str">
        <f>CHOOSE(MONTH(E244),"January","February","March","April","May","June","July","August","September","October","November","December")</f>
        <v>October</v>
      </c>
      <c r="G244" s="125">
        <f ca="1">DATEDIF(E244,TODAY(),"Y")</f>
        <v>18</v>
      </c>
      <c r="H244" s="125" t="s">
        <v>257</v>
      </c>
      <c r="I244" s="220">
        <v>33210</v>
      </c>
      <c r="J244" s="219">
        <v>4</v>
      </c>
    </row>
    <row r="245" spans="1:10" x14ac:dyDescent="0.25">
      <c r="A245" s="222" t="s">
        <v>869</v>
      </c>
      <c r="B245" s="125" t="s">
        <v>271</v>
      </c>
      <c r="C245" s="125" t="s">
        <v>465</v>
      </c>
      <c r="D245" s="125" t="s">
        <v>247</v>
      </c>
      <c r="E245" s="221">
        <v>33979</v>
      </c>
      <c r="F245" s="125" t="str">
        <f>CHOOSE(MONTH(E245),"January","February","March","April","May","June","July","August","September","October","November","December")</f>
        <v>January</v>
      </c>
      <c r="G245" s="125">
        <f ca="1">DATEDIF(E245,TODAY(),"Y")</f>
        <v>23</v>
      </c>
      <c r="I245" s="220">
        <v>73990</v>
      </c>
      <c r="J245" s="219">
        <v>3</v>
      </c>
    </row>
    <row r="246" spans="1:10" x14ac:dyDescent="0.25">
      <c r="A246" s="222" t="s">
        <v>709</v>
      </c>
      <c r="B246" s="125" t="s">
        <v>285</v>
      </c>
      <c r="C246" s="125" t="s">
        <v>465</v>
      </c>
      <c r="D246" s="125" t="s">
        <v>256</v>
      </c>
      <c r="E246" s="221">
        <v>35199</v>
      </c>
      <c r="F246" s="125" t="str">
        <f>CHOOSE(MONTH(E246),"January","February","March","April","May","June","July","August","September","October","November","December")</f>
        <v>May</v>
      </c>
      <c r="G246" s="125">
        <f ca="1">DATEDIF(E246,TODAY(),"Y")</f>
        <v>20</v>
      </c>
      <c r="H246" s="125" t="s">
        <v>257</v>
      </c>
      <c r="I246" s="220">
        <v>73450</v>
      </c>
      <c r="J246" s="219">
        <v>3</v>
      </c>
    </row>
    <row r="247" spans="1:10" x14ac:dyDescent="0.25">
      <c r="A247" s="222" t="s">
        <v>789</v>
      </c>
      <c r="B247" s="125" t="s">
        <v>271</v>
      </c>
      <c r="C247" s="125" t="s">
        <v>465</v>
      </c>
      <c r="D247" s="125" t="s">
        <v>252</v>
      </c>
      <c r="E247" s="221">
        <v>36305</v>
      </c>
      <c r="F247" s="125" t="str">
        <f>CHOOSE(MONTH(E247),"January","February","March","April","May","June","July","August","September","October","November","December")</f>
        <v>May</v>
      </c>
      <c r="G247" s="125">
        <f ca="1">DATEDIF(E247,TODAY(),"Y")</f>
        <v>17</v>
      </c>
      <c r="I247" s="220">
        <v>9424</v>
      </c>
      <c r="J247" s="219">
        <v>4</v>
      </c>
    </row>
    <row r="248" spans="1:10" x14ac:dyDescent="0.25">
      <c r="A248" s="222" t="s">
        <v>652</v>
      </c>
      <c r="B248" s="125" t="s">
        <v>245</v>
      </c>
      <c r="C248" s="125" t="s">
        <v>465</v>
      </c>
      <c r="D248" s="125" t="s">
        <v>261</v>
      </c>
      <c r="E248" s="221">
        <v>37620</v>
      </c>
      <c r="F248" s="125" t="str">
        <f>CHOOSE(MONTH(E248),"January","February","March","April","May","June","July","August","September","October","November","December")</f>
        <v>December</v>
      </c>
      <c r="G248" s="125">
        <f ca="1">DATEDIF(E248,TODAY(),"Y")</f>
        <v>13</v>
      </c>
      <c r="H248" s="125" t="s">
        <v>257</v>
      </c>
      <c r="I248" s="220">
        <v>24460</v>
      </c>
      <c r="J248" s="219">
        <v>1</v>
      </c>
    </row>
    <row r="249" spans="1:10" x14ac:dyDescent="0.25">
      <c r="A249" s="222" t="s">
        <v>585</v>
      </c>
      <c r="B249" s="125" t="s">
        <v>245</v>
      </c>
      <c r="C249" s="125" t="s">
        <v>465</v>
      </c>
      <c r="D249" s="125" t="s">
        <v>256</v>
      </c>
      <c r="E249" s="221">
        <v>35511</v>
      </c>
      <c r="F249" s="125" t="str">
        <f>CHOOSE(MONTH(E249),"January","February","March","April","May","June","July","August","September","October","November","December")</f>
        <v>March</v>
      </c>
      <c r="G249" s="125">
        <f ca="1">DATEDIF(E249,TODAY(),"Y")</f>
        <v>19</v>
      </c>
      <c r="H249" s="125" t="s">
        <v>283</v>
      </c>
      <c r="I249" s="220">
        <v>73144</v>
      </c>
      <c r="J249" s="219">
        <v>5</v>
      </c>
    </row>
    <row r="250" spans="1:10" x14ac:dyDescent="0.25">
      <c r="A250" s="222" t="s">
        <v>640</v>
      </c>
      <c r="B250" s="125" t="s">
        <v>285</v>
      </c>
      <c r="C250" s="125" t="s">
        <v>465</v>
      </c>
      <c r="D250" s="125" t="s">
        <v>256</v>
      </c>
      <c r="E250" s="221">
        <v>35024</v>
      </c>
      <c r="F250" s="125" t="str">
        <f>CHOOSE(MONTH(E250),"January","February","March","April","May","June","July","August","September","October","November","December")</f>
        <v>November</v>
      </c>
      <c r="G250" s="125">
        <f ca="1">DATEDIF(E250,TODAY(),"Y")</f>
        <v>20</v>
      </c>
      <c r="H250" s="125" t="s">
        <v>283</v>
      </c>
      <c r="I250" s="220">
        <v>73072</v>
      </c>
      <c r="J250" s="219">
        <v>5</v>
      </c>
    </row>
    <row r="251" spans="1:10" x14ac:dyDescent="0.25">
      <c r="A251" s="222" t="s">
        <v>623</v>
      </c>
      <c r="B251" s="125" t="s">
        <v>245</v>
      </c>
      <c r="C251" s="125" t="s">
        <v>465</v>
      </c>
      <c r="D251" s="125" t="s">
        <v>256</v>
      </c>
      <c r="E251" s="221">
        <v>40578</v>
      </c>
      <c r="F251" s="125" t="str">
        <f>CHOOSE(MONTH(E251),"January","February","March","April","May","June","July","August","September","October","November","December")</f>
        <v>February</v>
      </c>
      <c r="G251" s="125">
        <f ca="1">DATEDIF(E251,TODAY(),"Y")</f>
        <v>5</v>
      </c>
      <c r="H251" s="125" t="s">
        <v>257</v>
      </c>
      <c r="I251" s="220">
        <v>43820</v>
      </c>
      <c r="J251" s="219">
        <v>2</v>
      </c>
    </row>
    <row r="252" spans="1:10" x14ac:dyDescent="0.25">
      <c r="A252" s="222" t="s">
        <v>804</v>
      </c>
      <c r="B252" s="125" t="s">
        <v>285</v>
      </c>
      <c r="C252" s="125" t="s">
        <v>465</v>
      </c>
      <c r="D252" s="125" t="s">
        <v>247</v>
      </c>
      <c r="E252" s="221">
        <v>35997</v>
      </c>
      <c r="F252" s="125" t="str">
        <f>CHOOSE(MONTH(E252),"January","February","March","April","May","June","July","August","September","October","November","December")</f>
        <v>July</v>
      </c>
      <c r="G252" s="125">
        <f ca="1">DATEDIF(E252,TODAY(),"Y")</f>
        <v>18</v>
      </c>
      <c r="I252" s="220">
        <v>72520</v>
      </c>
      <c r="J252" s="219">
        <v>3</v>
      </c>
    </row>
    <row r="253" spans="1:10" x14ac:dyDescent="0.25">
      <c r="A253" s="222" t="s">
        <v>304</v>
      </c>
      <c r="B253" s="125" t="s">
        <v>280</v>
      </c>
      <c r="C253" s="125" t="s">
        <v>465</v>
      </c>
      <c r="D253" s="125" t="s">
        <v>252</v>
      </c>
      <c r="E253" s="221">
        <v>34165</v>
      </c>
      <c r="F253" s="125" t="str">
        <f>CHOOSE(MONTH(E253),"January","February","March","April","May","June","July","August","September","October","November","December")</f>
        <v>July</v>
      </c>
      <c r="G253" s="125">
        <f ca="1">DATEDIF(E253,TODAY(),"Y")</f>
        <v>23</v>
      </c>
      <c r="I253" s="220">
        <v>30416</v>
      </c>
      <c r="J253" s="219">
        <v>1</v>
      </c>
    </row>
    <row r="254" spans="1:10" x14ac:dyDescent="0.25">
      <c r="A254" s="222" t="s">
        <v>1010</v>
      </c>
      <c r="B254" s="125" t="s">
        <v>245</v>
      </c>
      <c r="C254" s="125" t="s">
        <v>465</v>
      </c>
      <c r="D254" s="125" t="s">
        <v>252</v>
      </c>
      <c r="E254" s="221">
        <v>35829</v>
      </c>
      <c r="F254" s="125" t="str">
        <f>CHOOSE(MONTH(E254),"January","February","March","April","May","June","July","August","September","October","November","December")</f>
        <v>February</v>
      </c>
      <c r="G254" s="125">
        <f ca="1">DATEDIF(E254,TODAY(),"Y")</f>
        <v>18</v>
      </c>
      <c r="I254" s="220">
        <v>29176</v>
      </c>
      <c r="J254" s="219">
        <v>3</v>
      </c>
    </row>
    <row r="255" spans="1:10" x14ac:dyDescent="0.25">
      <c r="A255" s="222" t="s">
        <v>988</v>
      </c>
      <c r="B255" s="125" t="s">
        <v>245</v>
      </c>
      <c r="C255" s="125" t="s">
        <v>465</v>
      </c>
      <c r="D255" s="125" t="s">
        <v>247</v>
      </c>
      <c r="E255" s="221">
        <v>38289</v>
      </c>
      <c r="F255" s="125" t="str">
        <f>CHOOSE(MONTH(E255),"January","February","March","April","May","June","July","August","September","October","November","December")</f>
        <v>October</v>
      </c>
      <c r="G255" s="125">
        <f ca="1">DATEDIF(E255,TODAY(),"Y")</f>
        <v>12</v>
      </c>
      <c r="I255" s="220">
        <v>71830</v>
      </c>
      <c r="J255" s="219">
        <v>3</v>
      </c>
    </row>
    <row r="256" spans="1:10" x14ac:dyDescent="0.25">
      <c r="A256" s="222" t="s">
        <v>890</v>
      </c>
      <c r="B256" s="125" t="s">
        <v>285</v>
      </c>
      <c r="C256" s="125" t="s">
        <v>465</v>
      </c>
      <c r="D256" s="125" t="s">
        <v>247</v>
      </c>
      <c r="E256" s="221">
        <v>35972</v>
      </c>
      <c r="F256" s="125" t="str">
        <f>CHOOSE(MONTH(E256),"January","February","March","April","May","June","July","August","September","October","November","December")</f>
        <v>June</v>
      </c>
      <c r="G256" s="125">
        <f ca="1">DATEDIF(E256,TODAY(),"Y")</f>
        <v>18</v>
      </c>
      <c r="I256" s="220">
        <v>71710</v>
      </c>
      <c r="J256" s="219">
        <v>5</v>
      </c>
    </row>
    <row r="257" spans="1:10" x14ac:dyDescent="0.25">
      <c r="A257" s="222" t="s">
        <v>634</v>
      </c>
      <c r="B257" s="125" t="s">
        <v>271</v>
      </c>
      <c r="C257" s="125" t="s">
        <v>465</v>
      </c>
      <c r="D257" s="125" t="s">
        <v>256</v>
      </c>
      <c r="E257" s="221">
        <v>39390</v>
      </c>
      <c r="F257" s="125" t="str">
        <f>CHOOSE(MONTH(E257),"January","February","March","April","May","June","July","August","September","October","November","December")</f>
        <v>November</v>
      </c>
      <c r="G257" s="125">
        <f ca="1">DATEDIF(E257,TODAY(),"Y")</f>
        <v>9</v>
      </c>
      <c r="H257" s="125" t="s">
        <v>267</v>
      </c>
      <c r="I257" s="220">
        <v>71490</v>
      </c>
      <c r="J257" s="219">
        <v>5</v>
      </c>
    </row>
    <row r="258" spans="1:10" x14ac:dyDescent="0.25">
      <c r="A258" s="222" t="s">
        <v>587</v>
      </c>
      <c r="B258" s="125" t="s">
        <v>245</v>
      </c>
      <c r="C258" s="125" t="s">
        <v>465</v>
      </c>
      <c r="D258" s="125" t="s">
        <v>256</v>
      </c>
      <c r="E258" s="221">
        <v>36122</v>
      </c>
      <c r="F258" s="125" t="str">
        <f>CHOOSE(MONTH(E258),"January","February","March","April","May","June","July","August","September","October","November","December")</f>
        <v>November</v>
      </c>
      <c r="G258" s="125">
        <f ca="1">DATEDIF(E258,TODAY(),"Y")</f>
        <v>17</v>
      </c>
      <c r="H258" s="125" t="s">
        <v>262</v>
      </c>
      <c r="I258" s="220">
        <v>22660</v>
      </c>
      <c r="J258" s="219">
        <v>2</v>
      </c>
    </row>
    <row r="259" spans="1:10" x14ac:dyDescent="0.25">
      <c r="A259" s="222" t="s">
        <v>315</v>
      </c>
      <c r="B259" s="125" t="s">
        <v>266</v>
      </c>
      <c r="C259" s="125" t="s">
        <v>465</v>
      </c>
      <c r="D259" s="125" t="s">
        <v>256</v>
      </c>
      <c r="E259" s="221">
        <v>39312</v>
      </c>
      <c r="F259" s="125" t="str">
        <f>CHOOSE(MONTH(E259),"January","February","March","April","May","June","July","August","September","October","November","December")</f>
        <v>August</v>
      </c>
      <c r="G259" s="125">
        <f ca="1">DATEDIF(E259,TODAY(),"Y")</f>
        <v>9</v>
      </c>
      <c r="H259" s="125" t="s">
        <v>262</v>
      </c>
      <c r="I259" s="220">
        <v>71030</v>
      </c>
      <c r="J259" s="219">
        <v>3</v>
      </c>
    </row>
    <row r="260" spans="1:10" x14ac:dyDescent="0.25">
      <c r="A260" s="222" t="s">
        <v>510</v>
      </c>
      <c r="B260" s="125" t="s">
        <v>266</v>
      </c>
      <c r="C260" s="125" t="s">
        <v>465</v>
      </c>
      <c r="D260" s="125" t="s">
        <v>256</v>
      </c>
      <c r="E260" s="221">
        <v>38321</v>
      </c>
      <c r="F260" s="125" t="str">
        <f>CHOOSE(MONTH(E260),"January","February","March","April","May","June","July","August","September","October","November","December")</f>
        <v>November</v>
      </c>
      <c r="G260" s="125">
        <f ca="1">DATEDIF(E260,TODAY(),"Y")</f>
        <v>11</v>
      </c>
      <c r="H260" s="125" t="s">
        <v>262</v>
      </c>
      <c r="I260" s="220">
        <v>70760</v>
      </c>
      <c r="J260" s="219">
        <v>1</v>
      </c>
    </row>
    <row r="261" spans="1:10" x14ac:dyDescent="0.25">
      <c r="A261" s="222" t="s">
        <v>742</v>
      </c>
      <c r="B261" s="125" t="s">
        <v>245</v>
      </c>
      <c r="C261" s="125" t="s">
        <v>465</v>
      </c>
      <c r="D261" s="125" t="s">
        <v>256</v>
      </c>
      <c r="E261" s="221">
        <v>35714</v>
      </c>
      <c r="F261" s="125" t="str">
        <f>CHOOSE(MONTH(E261),"January","February","March","April","May","June","July","August","September","October","November","December")</f>
        <v>October</v>
      </c>
      <c r="G261" s="125">
        <f ca="1">DATEDIF(E261,TODAY(),"Y")</f>
        <v>19</v>
      </c>
      <c r="H261" s="125" t="s">
        <v>262</v>
      </c>
      <c r="I261" s="220">
        <v>70020</v>
      </c>
      <c r="J261" s="219">
        <v>3</v>
      </c>
    </row>
    <row r="262" spans="1:10" x14ac:dyDescent="0.25">
      <c r="A262" s="222" t="s">
        <v>450</v>
      </c>
      <c r="B262" s="125" t="s">
        <v>251</v>
      </c>
      <c r="C262" s="125" t="s">
        <v>465</v>
      </c>
      <c r="D262" s="125" t="s">
        <v>261</v>
      </c>
      <c r="E262" s="221">
        <v>35343</v>
      </c>
      <c r="F262" s="125" t="str">
        <f>CHOOSE(MONTH(E262),"January","February","March","April","May","June","July","August","September","October","November","December")</f>
        <v>October</v>
      </c>
      <c r="G262" s="125">
        <f ca="1">DATEDIF(E262,TODAY(),"Y")</f>
        <v>20</v>
      </c>
      <c r="H262" s="125" t="s">
        <v>257</v>
      </c>
      <c r="I262" s="220">
        <v>46645</v>
      </c>
      <c r="J262" s="219">
        <v>5</v>
      </c>
    </row>
    <row r="263" spans="1:10" x14ac:dyDescent="0.25">
      <c r="A263" s="222" t="s">
        <v>879</v>
      </c>
      <c r="B263" s="125" t="s">
        <v>271</v>
      </c>
      <c r="C263" s="125" t="s">
        <v>465</v>
      </c>
      <c r="D263" s="125" t="s">
        <v>247</v>
      </c>
      <c r="E263" s="221">
        <v>36455</v>
      </c>
      <c r="F263" s="125" t="str">
        <f>CHOOSE(MONTH(E263),"January","February","March","April","May","June","July","August","September","October","November","December")</f>
        <v>October</v>
      </c>
      <c r="G263" s="125">
        <f ca="1">DATEDIF(E263,TODAY(),"Y")</f>
        <v>17</v>
      </c>
      <c r="I263" s="220">
        <v>23810</v>
      </c>
      <c r="J263" s="219">
        <v>4</v>
      </c>
    </row>
    <row r="264" spans="1:10" x14ac:dyDescent="0.25">
      <c r="A264" s="222" t="s">
        <v>958</v>
      </c>
      <c r="B264" s="125" t="s">
        <v>271</v>
      </c>
      <c r="C264" s="125" t="s">
        <v>465</v>
      </c>
      <c r="D264" s="125" t="s">
        <v>256</v>
      </c>
      <c r="E264" s="221">
        <v>39696</v>
      </c>
      <c r="F264" s="125" t="str">
        <f>CHOOSE(MONTH(E264),"January","February","March","April","May","June","July","August","September","October","November","December")</f>
        <v>September</v>
      </c>
      <c r="G264" s="125">
        <f ca="1">DATEDIF(E264,TODAY(),"Y")</f>
        <v>8</v>
      </c>
      <c r="H264" s="125" t="s">
        <v>257</v>
      </c>
      <c r="I264" s="220">
        <v>69320</v>
      </c>
      <c r="J264" s="219">
        <v>3</v>
      </c>
    </row>
    <row r="265" spans="1:10" x14ac:dyDescent="0.25">
      <c r="A265" s="222" t="s">
        <v>1000</v>
      </c>
      <c r="B265" s="125" t="s">
        <v>271</v>
      </c>
      <c r="C265" s="125" t="s">
        <v>465</v>
      </c>
      <c r="D265" s="125" t="s">
        <v>256</v>
      </c>
      <c r="E265" s="221">
        <v>37509</v>
      </c>
      <c r="F265" s="125" t="str">
        <f>CHOOSE(MONTH(E265),"January","February","March","April","May","June","July","August","September","October","November","December")</f>
        <v>September</v>
      </c>
      <c r="G265" s="125">
        <f ca="1">DATEDIF(E265,TODAY(),"Y")</f>
        <v>14</v>
      </c>
      <c r="H265" s="125" t="s">
        <v>283</v>
      </c>
      <c r="I265" s="220">
        <v>69080</v>
      </c>
      <c r="J265" s="219">
        <v>3</v>
      </c>
    </row>
    <row r="266" spans="1:10" x14ac:dyDescent="0.25">
      <c r="A266" s="222" t="s">
        <v>749</v>
      </c>
      <c r="B266" s="125" t="s">
        <v>280</v>
      </c>
      <c r="C266" s="125" t="s">
        <v>465</v>
      </c>
      <c r="D266" s="125" t="s">
        <v>252</v>
      </c>
      <c r="E266" s="221">
        <v>36067</v>
      </c>
      <c r="F266" s="125" t="str">
        <f>CHOOSE(MONTH(E266),"January","February","March","April","May","June","July","August","September","October","November","December")</f>
        <v>September</v>
      </c>
      <c r="G266" s="125">
        <f ca="1">DATEDIF(E266,TODAY(),"Y")</f>
        <v>18</v>
      </c>
      <c r="I266" s="220">
        <v>37612</v>
      </c>
      <c r="J266" s="219">
        <v>4</v>
      </c>
    </row>
    <row r="267" spans="1:10" x14ac:dyDescent="0.25">
      <c r="A267" s="222" t="s">
        <v>654</v>
      </c>
      <c r="B267" s="125" t="s">
        <v>245</v>
      </c>
      <c r="C267" s="125" t="s">
        <v>465</v>
      </c>
      <c r="D267" s="125" t="s">
        <v>252</v>
      </c>
      <c r="E267" s="221">
        <v>39087</v>
      </c>
      <c r="F267" s="125" t="str">
        <f>CHOOSE(MONTH(E267),"January","February","March","April","May","June","July","August","September","October","November","December")</f>
        <v>January</v>
      </c>
      <c r="G267" s="125">
        <f ca="1">DATEDIF(E267,TODAY(),"Y")</f>
        <v>9</v>
      </c>
      <c r="I267" s="220">
        <v>14416</v>
      </c>
      <c r="J267" s="219">
        <v>4</v>
      </c>
    </row>
    <row r="268" spans="1:10" x14ac:dyDescent="0.25">
      <c r="A268" s="222" t="s">
        <v>665</v>
      </c>
      <c r="B268" s="125" t="s">
        <v>280</v>
      </c>
      <c r="C268" s="125" t="s">
        <v>465</v>
      </c>
      <c r="D268" s="125" t="s">
        <v>256</v>
      </c>
      <c r="E268" s="221">
        <v>36413</v>
      </c>
      <c r="F268" s="125" t="str">
        <f>CHOOSE(MONTH(E268),"January","February","March","April","May","June","July","August","September","October","November","December")</f>
        <v>September</v>
      </c>
      <c r="G268" s="125">
        <f ca="1">DATEDIF(E268,TODAY(),"Y")</f>
        <v>17</v>
      </c>
      <c r="H268" s="125" t="s">
        <v>257</v>
      </c>
      <c r="I268" s="220">
        <v>40060</v>
      </c>
      <c r="J268" s="219">
        <v>3</v>
      </c>
    </row>
    <row r="269" spans="1:10" x14ac:dyDescent="0.25">
      <c r="A269" s="222" t="s">
        <v>885</v>
      </c>
      <c r="B269" s="125" t="s">
        <v>285</v>
      </c>
      <c r="C269" s="125" t="s">
        <v>465</v>
      </c>
      <c r="D269" s="125" t="s">
        <v>256</v>
      </c>
      <c r="E269" s="221">
        <v>36318</v>
      </c>
      <c r="F269" s="125" t="str">
        <f>CHOOSE(MONTH(E269),"January","February","March","April","May","June","July","August","September","October","November","December")</f>
        <v>June</v>
      </c>
      <c r="G269" s="125">
        <f ca="1">DATEDIF(E269,TODAY(),"Y")</f>
        <v>17</v>
      </c>
      <c r="H269" s="125" t="s">
        <v>283</v>
      </c>
      <c r="I269" s="220">
        <v>68750</v>
      </c>
      <c r="J269" s="219">
        <v>1</v>
      </c>
    </row>
    <row r="270" spans="1:10" x14ac:dyDescent="0.25">
      <c r="A270" s="222" t="s">
        <v>1029</v>
      </c>
      <c r="B270" s="125" t="s">
        <v>285</v>
      </c>
      <c r="C270" s="125" t="s">
        <v>465</v>
      </c>
      <c r="D270" s="125" t="s">
        <v>247</v>
      </c>
      <c r="E270" s="221">
        <v>38073</v>
      </c>
      <c r="F270" s="125" t="str">
        <f>CHOOSE(MONTH(E270),"January","February","March","April","May","June","July","August","September","October","November","December")</f>
        <v>March</v>
      </c>
      <c r="G270" s="125">
        <f ca="1">DATEDIF(E270,TODAY(),"Y")</f>
        <v>12</v>
      </c>
      <c r="I270" s="220">
        <v>39300</v>
      </c>
      <c r="J270" s="219">
        <v>2</v>
      </c>
    </row>
    <row r="271" spans="1:10" x14ac:dyDescent="0.25">
      <c r="A271" s="222" t="s">
        <v>748</v>
      </c>
      <c r="B271" s="125" t="s">
        <v>245</v>
      </c>
      <c r="C271" s="125" t="s">
        <v>465</v>
      </c>
      <c r="D271" s="125" t="s">
        <v>256</v>
      </c>
      <c r="E271" s="221">
        <v>38733</v>
      </c>
      <c r="F271" s="125" t="str">
        <f>CHOOSE(MONTH(E271),"January","February","March","April","May","June","July","August","September","October","November","December")</f>
        <v>January</v>
      </c>
      <c r="G271" s="125">
        <f ca="1">DATEDIF(E271,TODAY(),"Y")</f>
        <v>10</v>
      </c>
      <c r="H271" s="125" t="s">
        <v>276</v>
      </c>
      <c r="I271" s="220">
        <v>68710</v>
      </c>
      <c r="J271" s="219">
        <v>4</v>
      </c>
    </row>
    <row r="272" spans="1:10" x14ac:dyDescent="0.25">
      <c r="A272" s="222" t="s">
        <v>1012</v>
      </c>
      <c r="B272" s="125" t="s">
        <v>285</v>
      </c>
      <c r="C272" s="125" t="s">
        <v>465</v>
      </c>
      <c r="D272" s="125" t="s">
        <v>247</v>
      </c>
      <c r="E272" s="221">
        <v>36977</v>
      </c>
      <c r="F272" s="125" t="str">
        <f>CHOOSE(MONTH(E272),"January","February","March","April","May","June","July","August","September","October","November","December")</f>
        <v>March</v>
      </c>
      <c r="G272" s="125">
        <f ca="1">DATEDIF(E272,TODAY(),"Y")</f>
        <v>15</v>
      </c>
      <c r="I272" s="220">
        <v>68510</v>
      </c>
      <c r="J272" s="219">
        <v>5</v>
      </c>
    </row>
    <row r="273" spans="1:10" x14ac:dyDescent="0.25">
      <c r="A273" s="222" t="s">
        <v>681</v>
      </c>
      <c r="B273" s="125" t="s">
        <v>285</v>
      </c>
      <c r="C273" s="125" t="s">
        <v>465</v>
      </c>
      <c r="D273" s="125" t="s">
        <v>256</v>
      </c>
      <c r="E273" s="221">
        <v>37394</v>
      </c>
      <c r="F273" s="125" t="str">
        <f>CHOOSE(MONTH(E273),"January","February","March","April","May","June","July","August","September","October","November","December")</f>
        <v>May</v>
      </c>
      <c r="G273" s="125">
        <f ca="1">DATEDIF(E273,TODAY(),"Y")</f>
        <v>14</v>
      </c>
      <c r="H273" s="125" t="s">
        <v>257</v>
      </c>
      <c r="I273" s="220">
        <v>28970</v>
      </c>
      <c r="J273" s="219">
        <v>3</v>
      </c>
    </row>
    <row r="274" spans="1:10" x14ac:dyDescent="0.25">
      <c r="A274" s="222" t="s">
        <v>502</v>
      </c>
      <c r="B274" s="125" t="s">
        <v>271</v>
      </c>
      <c r="C274" s="125" t="s">
        <v>465</v>
      </c>
      <c r="D274" s="125" t="s">
        <v>247</v>
      </c>
      <c r="E274" s="221">
        <v>35992</v>
      </c>
      <c r="F274" s="125" t="str">
        <f>CHOOSE(MONTH(E274),"January","February","March","April","May","June","July","August","September","October","November","December")</f>
        <v>July</v>
      </c>
      <c r="G274" s="125">
        <f ca="1">DATEDIF(E274,TODAY(),"Y")</f>
        <v>18</v>
      </c>
      <c r="I274" s="220">
        <v>68260</v>
      </c>
      <c r="J274" s="219">
        <v>5</v>
      </c>
    </row>
    <row r="275" spans="1:10" x14ac:dyDescent="0.25">
      <c r="A275" s="222" t="s">
        <v>538</v>
      </c>
      <c r="B275" s="125" t="s">
        <v>280</v>
      </c>
      <c r="C275" s="125" t="s">
        <v>465</v>
      </c>
      <c r="D275" s="125" t="s">
        <v>247</v>
      </c>
      <c r="E275" s="221">
        <v>34265</v>
      </c>
      <c r="F275" s="125" t="str">
        <f>CHOOSE(MONTH(E275),"January","February","March","April","May","June","July","August","September","October","November","December")</f>
        <v>October</v>
      </c>
      <c r="G275" s="125">
        <f ca="1">DATEDIF(E275,TODAY(),"Y")</f>
        <v>23</v>
      </c>
      <c r="I275" s="220">
        <v>35460</v>
      </c>
      <c r="J275" s="219">
        <v>3</v>
      </c>
    </row>
    <row r="276" spans="1:10" x14ac:dyDescent="0.25">
      <c r="A276" s="222" t="s">
        <v>687</v>
      </c>
      <c r="B276" s="125" t="s">
        <v>245</v>
      </c>
      <c r="C276" s="125" t="s">
        <v>465</v>
      </c>
      <c r="D276" s="125" t="s">
        <v>256</v>
      </c>
      <c r="E276" s="221">
        <v>36444</v>
      </c>
      <c r="F276" s="125" t="str">
        <f>CHOOSE(MONTH(E276),"January","February","March","April","May","June","July","August","September","October","November","December")</f>
        <v>October</v>
      </c>
      <c r="G276" s="125">
        <f ca="1">DATEDIF(E276,TODAY(),"Y")</f>
        <v>17</v>
      </c>
      <c r="H276" s="125" t="s">
        <v>257</v>
      </c>
      <c r="I276" s="220">
        <v>67280</v>
      </c>
      <c r="J276" s="219">
        <v>3</v>
      </c>
    </row>
    <row r="277" spans="1:10" x14ac:dyDescent="0.25">
      <c r="A277" s="222" t="s">
        <v>669</v>
      </c>
      <c r="B277" s="125" t="s">
        <v>285</v>
      </c>
      <c r="C277" s="125" t="s">
        <v>465</v>
      </c>
      <c r="D277" s="125" t="s">
        <v>256</v>
      </c>
      <c r="E277" s="221">
        <v>34971</v>
      </c>
      <c r="F277" s="125" t="str">
        <f>CHOOSE(MONTH(E277),"January","February","March","April","May","June","July","August","September","October","November","December")</f>
        <v>September</v>
      </c>
      <c r="G277" s="125">
        <f ca="1">DATEDIF(E277,TODAY(),"Y")</f>
        <v>21</v>
      </c>
      <c r="H277" s="125" t="s">
        <v>283</v>
      </c>
      <c r="I277" s="220">
        <v>67050</v>
      </c>
      <c r="J277" s="219">
        <v>4</v>
      </c>
    </row>
    <row r="278" spans="1:10" x14ac:dyDescent="0.25">
      <c r="A278" s="222" t="s">
        <v>279</v>
      </c>
      <c r="B278" s="125" t="s">
        <v>285</v>
      </c>
      <c r="C278" s="125" t="s">
        <v>465</v>
      </c>
      <c r="D278" s="125" t="s">
        <v>256</v>
      </c>
      <c r="E278" s="221">
        <v>35703</v>
      </c>
      <c r="F278" s="125" t="str">
        <f>CHOOSE(MONTH(E278),"January","February","March","April","May","June","July","August","September","October","November","December")</f>
        <v>September</v>
      </c>
      <c r="G278" s="125">
        <f ca="1">DATEDIF(E278,TODAY(),"Y")</f>
        <v>19</v>
      </c>
      <c r="H278" s="125" t="s">
        <v>262</v>
      </c>
      <c r="I278" s="220">
        <v>66430</v>
      </c>
      <c r="J278" s="219">
        <v>2</v>
      </c>
    </row>
    <row r="279" spans="1:10" x14ac:dyDescent="0.25">
      <c r="A279" s="222" t="s">
        <v>962</v>
      </c>
      <c r="B279" s="125" t="s">
        <v>285</v>
      </c>
      <c r="C279" s="125" t="s">
        <v>465</v>
      </c>
      <c r="D279" s="125" t="s">
        <v>256</v>
      </c>
      <c r="E279" s="221">
        <v>37068</v>
      </c>
      <c r="F279" s="125" t="str">
        <f>CHOOSE(MONTH(E279),"January","February","March","April","May","June","July","August","September","October","November","December")</f>
        <v>June</v>
      </c>
      <c r="G279" s="125">
        <f ca="1">DATEDIF(E279,TODAY(),"Y")</f>
        <v>15</v>
      </c>
      <c r="H279" s="125" t="s">
        <v>262</v>
      </c>
      <c r="I279" s="220">
        <v>66010</v>
      </c>
      <c r="J279" s="219">
        <v>5</v>
      </c>
    </row>
    <row r="280" spans="1:10" x14ac:dyDescent="0.25">
      <c r="A280" s="222" t="s">
        <v>628</v>
      </c>
      <c r="B280" s="125" t="s">
        <v>271</v>
      </c>
      <c r="C280" s="125" t="s">
        <v>465</v>
      </c>
      <c r="D280" s="125" t="s">
        <v>247</v>
      </c>
      <c r="E280" s="221">
        <v>35379</v>
      </c>
      <c r="F280" s="125" t="str">
        <f>CHOOSE(MONTH(E280),"January","February","March","April","May","June","July","August","September","October","November","December")</f>
        <v>November</v>
      </c>
      <c r="G280" s="125">
        <f ca="1">DATEDIF(E280,TODAY(),"Y")</f>
        <v>19</v>
      </c>
      <c r="I280" s="220">
        <v>66010</v>
      </c>
      <c r="J280" s="219">
        <v>2</v>
      </c>
    </row>
    <row r="281" spans="1:10" x14ac:dyDescent="0.25">
      <c r="A281" s="222" t="s">
        <v>401</v>
      </c>
      <c r="B281" s="125" t="s">
        <v>285</v>
      </c>
      <c r="C281" s="125" t="s">
        <v>465</v>
      </c>
      <c r="D281" s="125" t="s">
        <v>256</v>
      </c>
      <c r="E281" s="221">
        <v>38821</v>
      </c>
      <c r="F281" s="125" t="str">
        <f>CHOOSE(MONTH(E281),"January","February","March","April","May","June","July","August","September","October","November","December")</f>
        <v>April</v>
      </c>
      <c r="G281" s="125">
        <f ca="1">DATEDIF(E281,TODAY(),"Y")</f>
        <v>10</v>
      </c>
      <c r="H281" s="125" t="s">
        <v>283</v>
      </c>
      <c r="I281" s="220">
        <v>65720</v>
      </c>
      <c r="J281" s="219">
        <v>1</v>
      </c>
    </row>
    <row r="282" spans="1:10" x14ac:dyDescent="0.25">
      <c r="A282" s="222" t="s">
        <v>782</v>
      </c>
      <c r="B282" s="125" t="s">
        <v>271</v>
      </c>
      <c r="C282" s="125" t="s">
        <v>465</v>
      </c>
      <c r="D282" s="125" t="s">
        <v>256</v>
      </c>
      <c r="E282" s="221">
        <v>40634</v>
      </c>
      <c r="F282" s="125" t="str">
        <f>CHOOSE(MONTH(E282),"January","February","March","April","May","June","July","August","September","October","November","December")</f>
        <v>April</v>
      </c>
      <c r="G282" s="125">
        <f ca="1">DATEDIF(E282,TODAY(),"Y")</f>
        <v>5</v>
      </c>
      <c r="H282" s="125" t="s">
        <v>257</v>
      </c>
      <c r="I282" s="220">
        <v>47440</v>
      </c>
      <c r="J282" s="219">
        <v>3</v>
      </c>
    </row>
    <row r="283" spans="1:10" x14ac:dyDescent="0.25">
      <c r="A283" s="222" t="s">
        <v>410</v>
      </c>
      <c r="B283" s="125" t="s">
        <v>271</v>
      </c>
      <c r="C283" s="125" t="s">
        <v>465</v>
      </c>
      <c r="D283" s="125" t="s">
        <v>256</v>
      </c>
      <c r="E283" s="221">
        <v>35188</v>
      </c>
      <c r="F283" s="125" t="str">
        <f>CHOOSE(MONTH(E283),"January","February","March","April","May","June","July","August","September","October","November","December")</f>
        <v>May</v>
      </c>
      <c r="G283" s="125">
        <f ca="1">DATEDIF(E283,TODAY(),"Y")</f>
        <v>20</v>
      </c>
      <c r="H283" s="125" t="s">
        <v>283</v>
      </c>
      <c r="I283" s="220">
        <v>44270</v>
      </c>
      <c r="J283" s="219">
        <v>2</v>
      </c>
    </row>
    <row r="284" spans="1:10" x14ac:dyDescent="0.25">
      <c r="A284" s="222" t="s">
        <v>537</v>
      </c>
      <c r="B284" s="125" t="s">
        <v>271</v>
      </c>
      <c r="C284" s="125" t="s">
        <v>465</v>
      </c>
      <c r="D284" s="125" t="s">
        <v>256</v>
      </c>
      <c r="E284" s="221">
        <v>33993</v>
      </c>
      <c r="F284" s="125" t="str">
        <f>CHOOSE(MONTH(E284),"January","February","March","April","May","June","July","August","September","October","November","December")</f>
        <v>January</v>
      </c>
      <c r="G284" s="125">
        <f ca="1">DATEDIF(E284,TODAY(),"Y")</f>
        <v>23</v>
      </c>
      <c r="H284" s="125" t="s">
        <v>283</v>
      </c>
      <c r="I284" s="220">
        <v>45500</v>
      </c>
      <c r="J284" s="219">
        <v>3</v>
      </c>
    </row>
    <row r="285" spans="1:10" x14ac:dyDescent="0.25">
      <c r="A285" s="222" t="s">
        <v>559</v>
      </c>
      <c r="B285" s="125" t="s">
        <v>245</v>
      </c>
      <c r="C285" s="125" t="s">
        <v>465</v>
      </c>
      <c r="D285" s="125" t="s">
        <v>261</v>
      </c>
      <c r="E285" s="221">
        <v>34163</v>
      </c>
      <c r="F285" s="125" t="str">
        <f>CHOOSE(MONTH(E285),"January","February","March","April","May","June","July","August","September","October","November","December")</f>
        <v>July</v>
      </c>
      <c r="G285" s="125">
        <f ca="1">DATEDIF(E285,TODAY(),"Y")</f>
        <v>23</v>
      </c>
      <c r="H285" s="125" t="s">
        <v>262</v>
      </c>
      <c r="I285" s="220">
        <v>18895</v>
      </c>
      <c r="J285" s="219">
        <v>4</v>
      </c>
    </row>
    <row r="286" spans="1:10" x14ac:dyDescent="0.25">
      <c r="A286" s="222" t="s">
        <v>316</v>
      </c>
      <c r="B286" s="125" t="s">
        <v>251</v>
      </c>
      <c r="C286" s="125" t="s">
        <v>465</v>
      </c>
      <c r="D286" s="125" t="s">
        <v>247</v>
      </c>
      <c r="E286" s="221">
        <v>34031</v>
      </c>
      <c r="F286" s="125" t="str">
        <f>CHOOSE(MONTH(E286),"January","February","March","April","May","June","July","August","September","October","November","December")</f>
        <v>March</v>
      </c>
      <c r="G286" s="125">
        <f ca="1">DATEDIF(E286,TODAY(),"Y")</f>
        <v>23</v>
      </c>
      <c r="I286" s="220">
        <v>64430</v>
      </c>
      <c r="J286" s="219">
        <v>4</v>
      </c>
    </row>
    <row r="287" spans="1:10" x14ac:dyDescent="0.25">
      <c r="A287" s="222" t="s">
        <v>929</v>
      </c>
      <c r="B287" s="125" t="s">
        <v>266</v>
      </c>
      <c r="C287" s="125" t="s">
        <v>465</v>
      </c>
      <c r="D287" s="125" t="s">
        <v>247</v>
      </c>
      <c r="E287" s="221">
        <v>37899</v>
      </c>
      <c r="F287" s="125" t="str">
        <f>CHOOSE(MONTH(E287),"January","February","March","April","May","June","July","August","September","October","November","December")</f>
        <v>October</v>
      </c>
      <c r="G287" s="125">
        <f ca="1">DATEDIF(E287,TODAY(),"Y")</f>
        <v>13</v>
      </c>
      <c r="I287" s="220">
        <v>64220</v>
      </c>
      <c r="J287" s="219">
        <v>5</v>
      </c>
    </row>
    <row r="288" spans="1:10" x14ac:dyDescent="0.25">
      <c r="A288" s="222" t="s">
        <v>608</v>
      </c>
      <c r="B288" s="125" t="s">
        <v>271</v>
      </c>
      <c r="C288" s="125" t="s">
        <v>465</v>
      </c>
      <c r="D288" s="125" t="s">
        <v>256</v>
      </c>
      <c r="E288" s="221">
        <v>37436</v>
      </c>
      <c r="F288" s="125" t="str">
        <f>CHOOSE(MONTH(E288),"January","February","March","April","May","June","July","August","September","October","November","December")</f>
        <v>June</v>
      </c>
      <c r="G288" s="125">
        <f ca="1">DATEDIF(E288,TODAY(),"Y")</f>
        <v>14</v>
      </c>
      <c r="H288" s="125" t="s">
        <v>267</v>
      </c>
      <c r="I288" s="220">
        <v>64130</v>
      </c>
      <c r="J288" s="219">
        <v>1</v>
      </c>
    </row>
    <row r="289" spans="1:10" x14ac:dyDescent="0.25">
      <c r="A289" s="222" t="s">
        <v>1018</v>
      </c>
      <c r="B289" s="125" t="s">
        <v>285</v>
      </c>
      <c r="C289" s="125" t="s">
        <v>465</v>
      </c>
      <c r="D289" s="125" t="s">
        <v>247</v>
      </c>
      <c r="E289" s="221">
        <v>39189</v>
      </c>
      <c r="F289" s="125" t="str">
        <f>CHOOSE(MONTH(E289),"January","February","March","April","May","June","July","August","September","October","November","December")</f>
        <v>April</v>
      </c>
      <c r="G289" s="125">
        <f ca="1">DATEDIF(E289,TODAY(),"Y")</f>
        <v>9</v>
      </c>
      <c r="I289" s="220">
        <v>63850</v>
      </c>
      <c r="J289" s="219">
        <v>2</v>
      </c>
    </row>
    <row r="290" spans="1:10" x14ac:dyDescent="0.25">
      <c r="A290" s="222" t="s">
        <v>592</v>
      </c>
      <c r="B290" s="125" t="s">
        <v>280</v>
      </c>
      <c r="C290" s="125" t="s">
        <v>465</v>
      </c>
      <c r="D290" s="125" t="s">
        <v>247</v>
      </c>
      <c r="E290" s="221">
        <v>36600</v>
      </c>
      <c r="F290" s="125" t="str">
        <f>CHOOSE(MONTH(E290),"January","February","March","April","May","June","July","August","September","October","November","December")</f>
        <v>March</v>
      </c>
      <c r="G290" s="125">
        <f ca="1">DATEDIF(E290,TODAY(),"Y")</f>
        <v>16</v>
      </c>
      <c r="I290" s="220">
        <v>41840</v>
      </c>
      <c r="J290" s="219">
        <v>2</v>
      </c>
    </row>
    <row r="291" spans="1:10" x14ac:dyDescent="0.25">
      <c r="A291" s="222" t="s">
        <v>663</v>
      </c>
      <c r="B291" s="125" t="s">
        <v>285</v>
      </c>
      <c r="C291" s="125" t="s">
        <v>465</v>
      </c>
      <c r="D291" s="125" t="s">
        <v>261</v>
      </c>
      <c r="E291" s="221">
        <v>35189</v>
      </c>
      <c r="F291" s="125" t="str">
        <f>CHOOSE(MONTH(E291),"January","February","March","April","May","June","July","August","September","October","November","December")</f>
        <v>May</v>
      </c>
      <c r="G291" s="125">
        <f ca="1">DATEDIF(E291,TODAY(),"Y")</f>
        <v>20</v>
      </c>
      <c r="H291" s="125" t="s">
        <v>257</v>
      </c>
      <c r="I291" s="220">
        <v>46285</v>
      </c>
      <c r="J291" s="219">
        <v>5</v>
      </c>
    </row>
    <row r="292" spans="1:10" x14ac:dyDescent="0.25">
      <c r="A292" s="222" t="s">
        <v>882</v>
      </c>
      <c r="B292" s="125" t="s">
        <v>271</v>
      </c>
      <c r="C292" s="125" t="s">
        <v>465</v>
      </c>
      <c r="D292" s="125" t="s">
        <v>256</v>
      </c>
      <c r="E292" s="221">
        <v>35996</v>
      </c>
      <c r="F292" s="125" t="str">
        <f>CHOOSE(MONTH(E292),"January","February","March","April","May","June","July","August","September","October","November","December")</f>
        <v>July</v>
      </c>
      <c r="G292" s="125">
        <f ca="1">DATEDIF(E292,TODAY(),"Y")</f>
        <v>18</v>
      </c>
      <c r="H292" s="125" t="s">
        <v>257</v>
      </c>
      <c r="I292" s="220">
        <v>40340</v>
      </c>
      <c r="J292" s="219">
        <v>2</v>
      </c>
    </row>
    <row r="293" spans="1:10" x14ac:dyDescent="0.25">
      <c r="A293" s="222" t="s">
        <v>604</v>
      </c>
      <c r="B293" s="125" t="s">
        <v>271</v>
      </c>
      <c r="C293" s="125" t="s">
        <v>465</v>
      </c>
      <c r="D293" s="125" t="s">
        <v>261</v>
      </c>
      <c r="E293" s="221">
        <v>36503</v>
      </c>
      <c r="F293" s="125" t="str">
        <f>CHOOSE(MONTH(E293),"January","February","March","April","May","June","July","August","September","October","November","December")</f>
        <v>December</v>
      </c>
      <c r="G293" s="125">
        <f ca="1">DATEDIF(E293,TODAY(),"Y")</f>
        <v>16</v>
      </c>
      <c r="H293" s="125" t="s">
        <v>267</v>
      </c>
      <c r="I293" s="220">
        <v>41615</v>
      </c>
      <c r="J293" s="219">
        <v>1</v>
      </c>
    </row>
    <row r="294" spans="1:10" x14ac:dyDescent="0.25">
      <c r="A294" s="222" t="s">
        <v>772</v>
      </c>
      <c r="B294" s="125" t="s">
        <v>285</v>
      </c>
      <c r="C294" s="125" t="s">
        <v>465</v>
      </c>
      <c r="D294" s="125" t="s">
        <v>247</v>
      </c>
      <c r="E294" s="221">
        <v>36729</v>
      </c>
      <c r="F294" s="125" t="str">
        <f>CHOOSE(MONTH(E294),"January","February","March","April","May","June","July","August","September","October","November","December")</f>
        <v>July</v>
      </c>
      <c r="G294" s="125">
        <f ca="1">DATEDIF(E294,TODAY(),"Y")</f>
        <v>16</v>
      </c>
      <c r="I294" s="220">
        <v>45420</v>
      </c>
      <c r="J294" s="219">
        <v>1</v>
      </c>
    </row>
    <row r="295" spans="1:10" x14ac:dyDescent="0.25">
      <c r="A295" s="222" t="s">
        <v>346</v>
      </c>
      <c r="B295" s="125" t="s">
        <v>271</v>
      </c>
      <c r="C295" s="125" t="s">
        <v>465</v>
      </c>
      <c r="D295" s="125" t="s">
        <v>247</v>
      </c>
      <c r="E295" s="221">
        <v>34425</v>
      </c>
      <c r="F295" s="125" t="str">
        <f>CHOOSE(MONTH(E295),"January","February","March","April","May","June","July","August","September","October","November","December")</f>
        <v>April</v>
      </c>
      <c r="G295" s="125">
        <f ca="1">DATEDIF(E295,TODAY(),"Y")</f>
        <v>22</v>
      </c>
      <c r="I295" s="220">
        <v>63310</v>
      </c>
      <c r="J295" s="219">
        <v>3</v>
      </c>
    </row>
    <row r="296" spans="1:10" x14ac:dyDescent="0.25">
      <c r="A296" s="222" t="s">
        <v>964</v>
      </c>
      <c r="B296" s="125" t="s">
        <v>245</v>
      </c>
      <c r="C296" s="125" t="s">
        <v>465</v>
      </c>
      <c r="D296" s="125" t="s">
        <v>256</v>
      </c>
      <c r="E296" s="221">
        <v>34541</v>
      </c>
      <c r="F296" s="125" t="str">
        <f>CHOOSE(MONTH(E296),"January","February","March","April","May","June","July","August","September","October","November","December")</f>
        <v>July</v>
      </c>
      <c r="G296" s="125">
        <f ca="1">DATEDIF(E296,TODAY(),"Y")</f>
        <v>22</v>
      </c>
      <c r="H296" s="125" t="s">
        <v>276</v>
      </c>
      <c r="I296" s="220">
        <v>34480</v>
      </c>
      <c r="J296" s="219">
        <v>3</v>
      </c>
    </row>
    <row r="297" spans="1:10" x14ac:dyDescent="0.25">
      <c r="A297" s="222" t="s">
        <v>785</v>
      </c>
      <c r="B297" s="125" t="s">
        <v>285</v>
      </c>
      <c r="C297" s="125" t="s">
        <v>465</v>
      </c>
      <c r="D297" s="125" t="s">
        <v>256</v>
      </c>
      <c r="E297" s="221">
        <v>34881</v>
      </c>
      <c r="F297" s="125" t="str">
        <f>CHOOSE(MONTH(E297),"January","February","March","April","May","June","July","August","September","October","November","December")</f>
        <v>July</v>
      </c>
      <c r="G297" s="125">
        <f ca="1">DATEDIF(E297,TODAY(),"Y")</f>
        <v>21</v>
      </c>
      <c r="H297" s="125" t="s">
        <v>262</v>
      </c>
      <c r="I297" s="220">
        <v>63070</v>
      </c>
      <c r="J297" s="219">
        <v>1</v>
      </c>
    </row>
    <row r="298" spans="1:10" x14ac:dyDescent="0.25">
      <c r="A298" s="222" t="s">
        <v>845</v>
      </c>
      <c r="B298" s="125" t="s">
        <v>280</v>
      </c>
      <c r="C298" s="125" t="s">
        <v>465</v>
      </c>
      <c r="D298" s="125" t="s">
        <v>247</v>
      </c>
      <c r="E298" s="221">
        <v>36011</v>
      </c>
      <c r="F298" s="125" t="str">
        <f>CHOOSE(MONTH(E298),"January","February","March","April","May","June","July","August","September","October","November","December")</f>
        <v>August</v>
      </c>
      <c r="G298" s="125">
        <f ca="1">DATEDIF(E298,TODAY(),"Y")</f>
        <v>18</v>
      </c>
      <c r="I298" s="220">
        <v>45050</v>
      </c>
      <c r="J298" s="219">
        <v>1</v>
      </c>
    </row>
    <row r="299" spans="1:10" x14ac:dyDescent="0.25">
      <c r="A299" s="222" t="s">
        <v>825</v>
      </c>
      <c r="B299" s="125" t="s">
        <v>245</v>
      </c>
      <c r="C299" s="125" t="s">
        <v>465</v>
      </c>
      <c r="D299" s="125" t="s">
        <v>247</v>
      </c>
      <c r="E299" s="221">
        <v>39538</v>
      </c>
      <c r="F299" s="125" t="str">
        <f>CHOOSE(MONTH(E299),"January","February","March","April","May","June","July","August","September","October","November","December")</f>
        <v>March</v>
      </c>
      <c r="G299" s="125">
        <f ca="1">DATEDIF(E299,TODAY(),"Y")</f>
        <v>8</v>
      </c>
      <c r="I299" s="220">
        <v>62780</v>
      </c>
      <c r="J299" s="219">
        <v>4</v>
      </c>
    </row>
    <row r="300" spans="1:10" x14ac:dyDescent="0.25">
      <c r="A300" s="222" t="s">
        <v>440</v>
      </c>
      <c r="B300" s="125" t="s">
        <v>271</v>
      </c>
      <c r="C300" s="125" t="s">
        <v>465</v>
      </c>
      <c r="D300" s="125" t="s">
        <v>256</v>
      </c>
      <c r="E300" s="221">
        <v>37331</v>
      </c>
      <c r="F300" s="125" t="str">
        <f>CHOOSE(MONTH(E300),"January","February","March","April","May","June","July","August","September","October","November","December")</f>
        <v>March</v>
      </c>
      <c r="G300" s="125">
        <f ca="1">DATEDIF(E300,TODAY(),"Y")</f>
        <v>14</v>
      </c>
      <c r="H300" s="125" t="s">
        <v>283</v>
      </c>
      <c r="I300" s="220">
        <v>62750</v>
      </c>
      <c r="J300" s="219">
        <v>3</v>
      </c>
    </row>
    <row r="301" spans="1:10" x14ac:dyDescent="0.25">
      <c r="A301" s="222" t="s">
        <v>792</v>
      </c>
      <c r="B301" s="125" t="s">
        <v>285</v>
      </c>
      <c r="C301" s="125" t="s">
        <v>465</v>
      </c>
      <c r="D301" s="125" t="s">
        <v>261</v>
      </c>
      <c r="E301" s="221">
        <v>36360</v>
      </c>
      <c r="F301" s="125" t="str">
        <f>CHOOSE(MONTH(E301),"January","February","March","April","May","June","July","August","September","October","November","December")</f>
        <v>July</v>
      </c>
      <c r="G301" s="125">
        <f ca="1">DATEDIF(E301,TODAY(),"Y")</f>
        <v>17</v>
      </c>
      <c r="H301" s="125" t="s">
        <v>283</v>
      </c>
      <c r="I301" s="220">
        <v>11065</v>
      </c>
      <c r="J301" s="219">
        <v>1</v>
      </c>
    </row>
    <row r="302" spans="1:10" x14ac:dyDescent="0.25">
      <c r="A302" s="222" t="s">
        <v>328</v>
      </c>
      <c r="B302" s="125" t="s">
        <v>285</v>
      </c>
      <c r="C302" s="125" t="s">
        <v>465</v>
      </c>
      <c r="D302" s="125" t="s">
        <v>247</v>
      </c>
      <c r="E302" s="221">
        <v>37634</v>
      </c>
      <c r="F302" s="125" t="str">
        <f>CHOOSE(MONTH(E302),"January","February","March","April","May","June","July","August","September","October","November","December")</f>
        <v>January</v>
      </c>
      <c r="G302" s="125">
        <f ca="1">DATEDIF(E302,TODAY(),"Y")</f>
        <v>13</v>
      </c>
      <c r="I302" s="220">
        <v>61370</v>
      </c>
      <c r="J302" s="219">
        <v>3</v>
      </c>
    </row>
    <row r="303" spans="1:10" x14ac:dyDescent="0.25">
      <c r="A303" s="222" t="s">
        <v>492</v>
      </c>
      <c r="B303" s="125" t="s">
        <v>271</v>
      </c>
      <c r="C303" s="125" t="s">
        <v>465</v>
      </c>
      <c r="D303" s="125" t="s">
        <v>256</v>
      </c>
      <c r="E303" s="221">
        <v>36273</v>
      </c>
      <c r="F303" s="125" t="str">
        <f>CHOOSE(MONTH(E303),"January","February","March","April","May","June","July","August","September","October","November","December")</f>
        <v>April</v>
      </c>
      <c r="G303" s="125">
        <f ca="1">DATEDIF(E303,TODAY(),"Y")</f>
        <v>17</v>
      </c>
      <c r="H303" s="125" t="s">
        <v>283</v>
      </c>
      <c r="I303" s="220">
        <v>61330</v>
      </c>
      <c r="J303" s="219">
        <v>4</v>
      </c>
    </row>
    <row r="304" spans="1:10" x14ac:dyDescent="0.25">
      <c r="A304" s="222" t="s">
        <v>294</v>
      </c>
      <c r="B304" s="125" t="s">
        <v>245</v>
      </c>
      <c r="C304" s="125" t="s">
        <v>465</v>
      </c>
      <c r="D304" s="125" t="s">
        <v>256</v>
      </c>
      <c r="E304" s="221">
        <v>38146</v>
      </c>
      <c r="F304" s="125" t="str">
        <f>CHOOSE(MONTH(E304),"January","February","March","April","May","June","July","August","September","October","November","December")</f>
        <v>June</v>
      </c>
      <c r="G304" s="125">
        <f ca="1">DATEDIF(E304,TODAY(),"Y")</f>
        <v>12</v>
      </c>
      <c r="H304" s="125" t="s">
        <v>257</v>
      </c>
      <c r="I304" s="220">
        <v>47340</v>
      </c>
      <c r="J304" s="219">
        <v>2</v>
      </c>
    </row>
    <row r="305" spans="1:10" x14ac:dyDescent="0.25">
      <c r="A305" s="222" t="s">
        <v>515</v>
      </c>
      <c r="B305" s="125" t="s">
        <v>251</v>
      </c>
      <c r="C305" s="125" t="s">
        <v>465</v>
      </c>
      <c r="D305" s="125" t="s">
        <v>256</v>
      </c>
      <c r="E305" s="221">
        <v>35591</v>
      </c>
      <c r="F305" s="125" t="str">
        <f>CHOOSE(MONTH(E305),"January","February","March","April","May","June","July","August","September","October","November","December")</f>
        <v>June</v>
      </c>
      <c r="G305" s="125">
        <f ca="1">DATEDIF(E305,TODAY(),"Y")</f>
        <v>19</v>
      </c>
      <c r="H305" s="125" t="s">
        <v>283</v>
      </c>
      <c r="I305" s="220">
        <v>61150</v>
      </c>
      <c r="J305" s="219">
        <v>2</v>
      </c>
    </row>
    <row r="306" spans="1:10" x14ac:dyDescent="0.25">
      <c r="A306" s="222" t="s">
        <v>902</v>
      </c>
      <c r="B306" s="125" t="s">
        <v>285</v>
      </c>
      <c r="C306" s="125" t="s">
        <v>465</v>
      </c>
      <c r="D306" s="125" t="s">
        <v>256</v>
      </c>
      <c r="E306" s="221">
        <v>38664</v>
      </c>
      <c r="F306" s="125" t="str">
        <f>CHOOSE(MONTH(E306),"January","February","March","April","May","June","July","August","September","October","November","December")</f>
        <v>November</v>
      </c>
      <c r="G306" s="125">
        <f ca="1">DATEDIF(E306,TODAY(),"Y")</f>
        <v>11</v>
      </c>
      <c r="H306" s="125" t="s">
        <v>257</v>
      </c>
      <c r="I306" s="220">
        <v>61060</v>
      </c>
      <c r="J306" s="219">
        <v>5</v>
      </c>
    </row>
    <row r="307" spans="1:10" x14ac:dyDescent="0.25">
      <c r="A307" s="222" t="s">
        <v>775</v>
      </c>
      <c r="B307" s="125" t="s">
        <v>280</v>
      </c>
      <c r="C307" s="125" t="s">
        <v>465</v>
      </c>
      <c r="D307" s="125" t="s">
        <v>256</v>
      </c>
      <c r="E307" s="221">
        <v>35529</v>
      </c>
      <c r="F307" s="125" t="str">
        <f>CHOOSE(MONTH(E307),"January","February","March","April","May","June","July","August","September","October","November","December")</f>
        <v>April</v>
      </c>
      <c r="G307" s="125">
        <f ca="1">DATEDIF(E307,TODAY(),"Y")</f>
        <v>19</v>
      </c>
      <c r="H307" s="125" t="s">
        <v>267</v>
      </c>
      <c r="I307" s="220">
        <v>44920</v>
      </c>
      <c r="J307" s="219">
        <v>1</v>
      </c>
    </row>
    <row r="308" spans="1:10" x14ac:dyDescent="0.25">
      <c r="A308" s="222" t="s">
        <v>525</v>
      </c>
      <c r="B308" s="125" t="s">
        <v>280</v>
      </c>
      <c r="C308" s="125" t="s">
        <v>465</v>
      </c>
      <c r="D308" s="125" t="s">
        <v>252</v>
      </c>
      <c r="E308" s="221">
        <v>33751</v>
      </c>
      <c r="F308" s="125" t="str">
        <f>CHOOSE(MONTH(E308),"January","February","March","April","May","June","July","August","September","October","November","December")</f>
        <v>May</v>
      </c>
      <c r="G308" s="125">
        <f ca="1">DATEDIF(E308,TODAY(),"Y")</f>
        <v>24</v>
      </c>
      <c r="I308" s="220">
        <v>22344</v>
      </c>
      <c r="J308" s="219">
        <v>4</v>
      </c>
    </row>
    <row r="309" spans="1:10" x14ac:dyDescent="0.25">
      <c r="A309" s="222" t="s">
        <v>588</v>
      </c>
      <c r="B309" s="125" t="s">
        <v>271</v>
      </c>
      <c r="C309" s="125" t="s">
        <v>465</v>
      </c>
      <c r="D309" s="125" t="s">
        <v>256</v>
      </c>
      <c r="E309" s="221">
        <v>33648</v>
      </c>
      <c r="F309" s="125" t="str">
        <f>CHOOSE(MONTH(E309),"January","February","March","April","May","June","July","August","September","October","November","December")</f>
        <v>February</v>
      </c>
      <c r="G309" s="125">
        <f ca="1">DATEDIF(E309,TODAY(),"Y")</f>
        <v>24</v>
      </c>
      <c r="H309" s="125" t="s">
        <v>276</v>
      </c>
      <c r="I309" s="220">
        <v>60380</v>
      </c>
      <c r="J309" s="219">
        <v>4</v>
      </c>
    </row>
    <row r="310" spans="1:10" x14ac:dyDescent="0.25">
      <c r="A310" s="222" t="s">
        <v>710</v>
      </c>
      <c r="B310" s="125" t="s">
        <v>271</v>
      </c>
      <c r="C310" s="125" t="s">
        <v>465</v>
      </c>
      <c r="D310" s="125" t="s">
        <v>256</v>
      </c>
      <c r="E310" s="221">
        <v>35589</v>
      </c>
      <c r="F310" s="125" t="str">
        <f>CHOOSE(MONTH(E310),"January","February","March","April","May","June","July","August","September","October","November","December")</f>
        <v>June</v>
      </c>
      <c r="G310" s="125">
        <f ca="1">DATEDIF(E310,TODAY(),"Y")</f>
        <v>19</v>
      </c>
      <c r="H310" s="125" t="s">
        <v>257</v>
      </c>
      <c r="I310" s="220">
        <v>60280</v>
      </c>
      <c r="J310" s="219">
        <v>1</v>
      </c>
    </row>
    <row r="311" spans="1:10" x14ac:dyDescent="0.25">
      <c r="A311" s="222" t="s">
        <v>756</v>
      </c>
      <c r="B311" s="125" t="s">
        <v>271</v>
      </c>
      <c r="C311" s="125" t="s">
        <v>465</v>
      </c>
      <c r="D311" s="125" t="s">
        <v>256</v>
      </c>
      <c r="E311" s="221">
        <v>35695</v>
      </c>
      <c r="F311" s="125" t="str">
        <f>CHOOSE(MONTH(E311),"January","February","March","April","May","June","July","August","September","October","November","December")</f>
        <v>September</v>
      </c>
      <c r="G311" s="125">
        <f ca="1">DATEDIF(E311,TODAY(),"Y")</f>
        <v>19</v>
      </c>
      <c r="H311" s="125" t="s">
        <v>257</v>
      </c>
      <c r="I311" s="220">
        <v>60100</v>
      </c>
      <c r="J311" s="219">
        <v>1</v>
      </c>
    </row>
    <row r="312" spans="1:10" x14ac:dyDescent="0.25">
      <c r="A312" s="222" t="s">
        <v>519</v>
      </c>
      <c r="B312" s="125" t="s">
        <v>271</v>
      </c>
      <c r="C312" s="125" t="s">
        <v>465</v>
      </c>
      <c r="D312" s="125" t="s">
        <v>247</v>
      </c>
      <c r="E312" s="221">
        <v>35451</v>
      </c>
      <c r="F312" s="125" t="str">
        <f>CHOOSE(MONTH(E312),"January","February","March","April","May","June","July","August","September","October","November","December")</f>
        <v>January</v>
      </c>
      <c r="G312" s="125">
        <f ca="1">DATEDIF(E312,TODAY(),"Y")</f>
        <v>19</v>
      </c>
      <c r="I312" s="220">
        <v>42150</v>
      </c>
      <c r="J312" s="219">
        <v>5</v>
      </c>
    </row>
    <row r="313" spans="1:10" x14ac:dyDescent="0.25">
      <c r="A313" s="222" t="s">
        <v>714</v>
      </c>
      <c r="B313" s="125" t="s">
        <v>266</v>
      </c>
      <c r="C313" s="125" t="s">
        <v>465</v>
      </c>
      <c r="D313" s="125" t="s">
        <v>247</v>
      </c>
      <c r="E313" s="221">
        <v>36350</v>
      </c>
      <c r="F313" s="125" t="str">
        <f>CHOOSE(MONTH(E313),"January","February","March","April","May","June","July","August","September","October","November","December")</f>
        <v>July</v>
      </c>
      <c r="G313" s="125">
        <f ca="1">DATEDIF(E313,TODAY(),"Y")</f>
        <v>17</v>
      </c>
      <c r="I313" s="220">
        <v>27380</v>
      </c>
      <c r="J313" s="219">
        <v>3</v>
      </c>
    </row>
    <row r="314" spans="1:10" x14ac:dyDescent="0.25">
      <c r="A314" s="222" t="s">
        <v>809</v>
      </c>
      <c r="B314" s="125" t="s">
        <v>271</v>
      </c>
      <c r="C314" s="125" t="s">
        <v>465</v>
      </c>
      <c r="D314" s="125" t="s">
        <v>247</v>
      </c>
      <c r="E314" s="221">
        <v>34149</v>
      </c>
      <c r="F314" s="125" t="str">
        <f>CHOOSE(MONTH(E314),"January","February","March","April","May","June","July","August","September","October","November","December")</f>
        <v>June</v>
      </c>
      <c r="G314" s="125">
        <f ca="1">DATEDIF(E314,TODAY(),"Y")</f>
        <v>23</v>
      </c>
      <c r="I314" s="220">
        <v>45770</v>
      </c>
      <c r="J314" s="219">
        <v>5</v>
      </c>
    </row>
    <row r="315" spans="1:10" x14ac:dyDescent="0.25">
      <c r="A315" s="222" t="s">
        <v>616</v>
      </c>
      <c r="B315" s="125" t="s">
        <v>245</v>
      </c>
      <c r="C315" s="125" t="s">
        <v>465</v>
      </c>
      <c r="D315" s="125" t="s">
        <v>247</v>
      </c>
      <c r="E315" s="221">
        <v>39822</v>
      </c>
      <c r="F315" s="125" t="str">
        <f>CHOOSE(MONTH(E315),"January","February","March","April","May","June","July","August","September","October","November","December")</f>
        <v>January</v>
      </c>
      <c r="G315" s="125">
        <f ca="1">DATEDIF(E315,TODAY(),"Y")</f>
        <v>7</v>
      </c>
      <c r="I315" s="220">
        <v>60040</v>
      </c>
      <c r="J315" s="219">
        <v>5</v>
      </c>
    </row>
    <row r="316" spans="1:10" x14ac:dyDescent="0.25">
      <c r="A316" s="222" t="s">
        <v>341</v>
      </c>
      <c r="B316" s="125" t="s">
        <v>266</v>
      </c>
      <c r="C316" s="125" t="s">
        <v>465</v>
      </c>
      <c r="D316" s="125" t="s">
        <v>256</v>
      </c>
      <c r="E316" s="221">
        <v>39455</v>
      </c>
      <c r="F316" s="125" t="str">
        <f>CHOOSE(MONTH(E316),"January","February","March","April","May","June","July","August","September","October","November","December")</f>
        <v>January</v>
      </c>
      <c r="G316" s="125">
        <f ca="1">DATEDIF(E316,TODAY(),"Y")</f>
        <v>8</v>
      </c>
      <c r="H316" s="125" t="s">
        <v>283</v>
      </c>
      <c r="I316" s="220">
        <v>59420</v>
      </c>
      <c r="J316" s="219">
        <v>4</v>
      </c>
    </row>
    <row r="317" spans="1:10" x14ac:dyDescent="0.25">
      <c r="A317" s="222" t="s">
        <v>1548</v>
      </c>
      <c r="B317" s="125" t="s">
        <v>266</v>
      </c>
      <c r="C317" s="125" t="s">
        <v>465</v>
      </c>
      <c r="D317" s="125" t="s">
        <v>247</v>
      </c>
      <c r="E317" s="221">
        <v>35360</v>
      </c>
      <c r="F317" s="125" t="str">
        <f>CHOOSE(MONTH(E317),"January","February","March","April","May","June","July","August","September","October","November","December")</f>
        <v>October</v>
      </c>
      <c r="G317" s="125">
        <f ca="1">DATEDIF(E317,TODAY(),"Y")</f>
        <v>20</v>
      </c>
      <c r="I317" s="220">
        <v>28260</v>
      </c>
      <c r="J317" s="219">
        <v>5</v>
      </c>
    </row>
    <row r="318" spans="1:10" x14ac:dyDescent="0.25">
      <c r="A318" s="222" t="s">
        <v>966</v>
      </c>
      <c r="B318" s="125" t="s">
        <v>280</v>
      </c>
      <c r="C318" s="125" t="s">
        <v>465</v>
      </c>
      <c r="D318" s="125" t="s">
        <v>247</v>
      </c>
      <c r="E318" s="221">
        <v>38874</v>
      </c>
      <c r="F318" s="125" t="str">
        <f>CHOOSE(MONTH(E318),"January","February","March","April","May","June","July","August","September","October","November","December")</f>
        <v>June</v>
      </c>
      <c r="G318" s="125">
        <f ca="1">DATEDIF(E318,TODAY(),"Y")</f>
        <v>10</v>
      </c>
      <c r="I318" s="220">
        <v>59330</v>
      </c>
      <c r="J318" s="219">
        <v>4</v>
      </c>
    </row>
    <row r="319" spans="1:10" x14ac:dyDescent="0.25">
      <c r="A319" s="222" t="s">
        <v>527</v>
      </c>
      <c r="B319" s="125" t="s">
        <v>266</v>
      </c>
      <c r="C319" s="125" t="s">
        <v>465</v>
      </c>
      <c r="D319" s="125" t="s">
        <v>256</v>
      </c>
      <c r="E319" s="221">
        <v>35361</v>
      </c>
      <c r="F319" s="125" t="str">
        <f>CHOOSE(MONTH(E319),"January","February","March","April","May","June","July","August","September","October","November","December")</f>
        <v>October</v>
      </c>
      <c r="G319" s="125">
        <f ca="1">DATEDIF(E319,TODAY(),"Y")</f>
        <v>20</v>
      </c>
      <c r="H319" s="125" t="s">
        <v>257</v>
      </c>
      <c r="I319" s="220">
        <v>59320</v>
      </c>
      <c r="J319" s="219">
        <v>4</v>
      </c>
    </row>
    <row r="320" spans="1:10" x14ac:dyDescent="0.25">
      <c r="A320" s="222" t="s">
        <v>560</v>
      </c>
      <c r="B320" s="125" t="s">
        <v>280</v>
      </c>
      <c r="C320" s="125" t="s">
        <v>465</v>
      </c>
      <c r="D320" s="125" t="s">
        <v>256</v>
      </c>
      <c r="E320" s="221">
        <v>34068</v>
      </c>
      <c r="F320" s="125" t="str">
        <f>CHOOSE(MONTH(E320),"January","February","March","April","May","June","July","August","September","October","November","December")</f>
        <v>April</v>
      </c>
      <c r="G320" s="125">
        <f ca="1">DATEDIF(E320,TODAY(),"Y")</f>
        <v>23</v>
      </c>
      <c r="H320" s="125" t="s">
        <v>283</v>
      </c>
      <c r="I320" s="220">
        <v>23330</v>
      </c>
      <c r="J320" s="219">
        <v>4</v>
      </c>
    </row>
    <row r="321" spans="1:10" x14ac:dyDescent="0.25">
      <c r="A321" s="222" t="s">
        <v>979</v>
      </c>
      <c r="B321" s="125" t="s">
        <v>271</v>
      </c>
      <c r="C321" s="125" t="s">
        <v>465</v>
      </c>
      <c r="D321" s="125" t="s">
        <v>256</v>
      </c>
      <c r="E321" s="221">
        <v>40270</v>
      </c>
      <c r="F321" s="125" t="str">
        <f>CHOOSE(MONTH(E321),"January","February","March","April","May","June","July","August","September","October","November","December")</f>
        <v>April</v>
      </c>
      <c r="G321" s="125">
        <f ca="1">DATEDIF(E321,TODAY(),"Y")</f>
        <v>6</v>
      </c>
      <c r="H321" s="125" t="s">
        <v>283</v>
      </c>
      <c r="I321" s="220">
        <v>35300</v>
      </c>
      <c r="J321" s="219">
        <v>5</v>
      </c>
    </row>
    <row r="322" spans="1:10" x14ac:dyDescent="0.25">
      <c r="A322" s="222" t="s">
        <v>876</v>
      </c>
      <c r="B322" s="125" t="s">
        <v>251</v>
      </c>
      <c r="C322" s="125" t="s">
        <v>465</v>
      </c>
      <c r="D322" s="125" t="s">
        <v>256</v>
      </c>
      <c r="E322" s="221">
        <v>34785</v>
      </c>
      <c r="F322" s="125" t="str">
        <f>CHOOSE(MONTH(E322),"January","February","March","April","May","June","July","August","September","October","November","December")</f>
        <v>March</v>
      </c>
      <c r="G322" s="125">
        <f ca="1">DATEDIF(E322,TODAY(),"Y")</f>
        <v>21</v>
      </c>
      <c r="H322" s="125" t="s">
        <v>257</v>
      </c>
      <c r="I322" s="220">
        <v>24300</v>
      </c>
      <c r="J322" s="219">
        <v>3</v>
      </c>
    </row>
    <row r="323" spans="1:10" x14ac:dyDescent="0.25">
      <c r="A323" s="222" t="s">
        <v>574</v>
      </c>
      <c r="B323" s="125" t="s">
        <v>280</v>
      </c>
      <c r="C323" s="125" t="s">
        <v>465</v>
      </c>
      <c r="D323" s="125" t="s">
        <v>247</v>
      </c>
      <c r="E323" s="221">
        <v>36283</v>
      </c>
      <c r="F323" s="125" t="str">
        <f>CHOOSE(MONTH(E323),"January","February","March","April","May","June","July","August","September","October","November","December")</f>
        <v>May</v>
      </c>
      <c r="G323" s="125">
        <f ca="1">DATEDIF(E323,TODAY(),"Y")</f>
        <v>17</v>
      </c>
      <c r="I323" s="220">
        <v>25130</v>
      </c>
      <c r="J323" s="219">
        <v>5</v>
      </c>
    </row>
    <row r="324" spans="1:10" x14ac:dyDescent="0.25">
      <c r="A324" s="222" t="s">
        <v>674</v>
      </c>
      <c r="B324" s="125" t="s">
        <v>280</v>
      </c>
      <c r="C324" s="125" t="s">
        <v>465</v>
      </c>
      <c r="D324" s="125" t="s">
        <v>256</v>
      </c>
      <c r="E324" s="221">
        <v>37229</v>
      </c>
      <c r="F324" s="125" t="str">
        <f>CHOOSE(MONTH(E324),"January","February","March","April","May","June","July","August","September","October","November","December")</f>
        <v>December</v>
      </c>
      <c r="G324" s="125">
        <f ca="1">DATEDIF(E324,TODAY(),"Y")</f>
        <v>14</v>
      </c>
      <c r="H324" s="125" t="s">
        <v>283</v>
      </c>
      <c r="I324" s="220">
        <v>25310</v>
      </c>
      <c r="J324" s="219">
        <v>4</v>
      </c>
    </row>
    <row r="325" spans="1:10" x14ac:dyDescent="0.25">
      <c r="A325" s="222" t="s">
        <v>799</v>
      </c>
      <c r="B325" s="125" t="s">
        <v>285</v>
      </c>
      <c r="C325" s="125" t="s">
        <v>465</v>
      </c>
      <c r="D325" s="125" t="s">
        <v>256</v>
      </c>
      <c r="E325" s="221">
        <v>36431</v>
      </c>
      <c r="F325" s="125" t="str">
        <f>CHOOSE(MONTH(E325),"January","February","March","April","May","June","July","August","September","October","November","December")</f>
        <v>September</v>
      </c>
      <c r="G325" s="125">
        <f ca="1">DATEDIF(E325,TODAY(),"Y")</f>
        <v>17</v>
      </c>
      <c r="H325" s="125" t="s">
        <v>257</v>
      </c>
      <c r="I325" s="220">
        <v>35820</v>
      </c>
      <c r="J325" s="219">
        <v>2</v>
      </c>
    </row>
    <row r="326" spans="1:10" x14ac:dyDescent="0.25">
      <c r="A326" s="222" t="s">
        <v>697</v>
      </c>
      <c r="B326" s="125" t="s">
        <v>245</v>
      </c>
      <c r="C326" s="125" t="s">
        <v>465</v>
      </c>
      <c r="D326" s="125" t="s">
        <v>256</v>
      </c>
      <c r="E326" s="221">
        <v>33720</v>
      </c>
      <c r="F326" s="125" t="str">
        <f>CHOOSE(MONTH(E326),"January","February","March","April","May","June","July","August","September","October","November","December")</f>
        <v>April</v>
      </c>
      <c r="G326" s="125">
        <f ca="1">DATEDIF(E326,TODAY(),"Y")</f>
        <v>24</v>
      </c>
      <c r="H326" s="125" t="s">
        <v>283</v>
      </c>
      <c r="I326" s="220">
        <v>58910</v>
      </c>
      <c r="J326" s="219">
        <v>1</v>
      </c>
    </row>
    <row r="327" spans="1:10" x14ac:dyDescent="0.25">
      <c r="A327" s="222" t="s">
        <v>731</v>
      </c>
      <c r="B327" s="125" t="s">
        <v>285</v>
      </c>
      <c r="C327" s="125" t="s">
        <v>465</v>
      </c>
      <c r="D327" s="125" t="s">
        <v>256</v>
      </c>
      <c r="E327" s="221">
        <v>36332</v>
      </c>
      <c r="F327" s="125" t="str">
        <f>CHOOSE(MONTH(E327),"January","February","March","April","May","June","July","August","September","October","November","December")</f>
        <v>June</v>
      </c>
      <c r="G327" s="125">
        <f ca="1">DATEDIF(E327,TODAY(),"Y")</f>
        <v>17</v>
      </c>
      <c r="H327" s="125" t="s">
        <v>267</v>
      </c>
      <c r="I327" s="220">
        <v>37760</v>
      </c>
      <c r="J327" s="219">
        <v>2</v>
      </c>
    </row>
    <row r="328" spans="1:10" x14ac:dyDescent="0.25">
      <c r="A328" s="222" t="s">
        <v>514</v>
      </c>
      <c r="B328" s="125" t="s">
        <v>280</v>
      </c>
      <c r="C328" s="125" t="s">
        <v>465</v>
      </c>
      <c r="D328" s="125" t="s">
        <v>247</v>
      </c>
      <c r="E328" s="221">
        <v>36704</v>
      </c>
      <c r="F328" s="125" t="str">
        <f>CHOOSE(MONTH(E328),"January","February","March","April","May","June","July","August","September","October","November","December")</f>
        <v>June</v>
      </c>
      <c r="G328" s="125">
        <f ca="1">DATEDIF(E328,TODAY(),"Y")</f>
        <v>16</v>
      </c>
      <c r="I328" s="220">
        <v>57760</v>
      </c>
      <c r="J328" s="219">
        <v>3</v>
      </c>
    </row>
    <row r="329" spans="1:10" x14ac:dyDescent="0.25">
      <c r="A329" s="222" t="s">
        <v>482</v>
      </c>
      <c r="B329" s="125" t="s">
        <v>271</v>
      </c>
      <c r="C329" s="125" t="s">
        <v>465</v>
      </c>
      <c r="D329" s="125" t="s">
        <v>247</v>
      </c>
      <c r="E329" s="221">
        <v>36637</v>
      </c>
      <c r="F329" s="125" t="str">
        <f>CHOOSE(MONTH(E329),"January","February","March","April","May","June","July","August","September","October","November","December")</f>
        <v>April</v>
      </c>
      <c r="G329" s="125">
        <f ca="1">DATEDIF(E329,TODAY(),"Y")</f>
        <v>16</v>
      </c>
      <c r="I329" s="220">
        <v>57600</v>
      </c>
      <c r="J329" s="219">
        <v>3</v>
      </c>
    </row>
    <row r="330" spans="1:10" x14ac:dyDescent="0.25">
      <c r="A330" s="222" t="s">
        <v>837</v>
      </c>
      <c r="B330" s="125" t="s">
        <v>285</v>
      </c>
      <c r="C330" s="125" t="s">
        <v>465</v>
      </c>
      <c r="D330" s="125" t="s">
        <v>247</v>
      </c>
      <c r="E330" s="221">
        <v>38321</v>
      </c>
      <c r="F330" s="125" t="str">
        <f>CHOOSE(MONTH(E330),"January","February","March","April","May","June","July","August","September","October","November","December")</f>
        <v>November</v>
      </c>
      <c r="G330" s="125">
        <f ca="1">DATEDIF(E330,TODAY(),"Y")</f>
        <v>11</v>
      </c>
      <c r="I330" s="220">
        <v>37980</v>
      </c>
      <c r="J330" s="219">
        <v>4</v>
      </c>
    </row>
    <row r="331" spans="1:10" x14ac:dyDescent="0.25">
      <c r="A331" s="222" t="s">
        <v>553</v>
      </c>
      <c r="B331" s="125" t="s">
        <v>285</v>
      </c>
      <c r="C331" s="125" t="s">
        <v>465</v>
      </c>
      <c r="D331" s="125" t="s">
        <v>247</v>
      </c>
      <c r="E331" s="221">
        <v>38044</v>
      </c>
      <c r="F331" s="125" t="str">
        <f>CHOOSE(MONTH(E331),"January","February","March","April","May","June","July","August","September","October","November","December")</f>
        <v>February</v>
      </c>
      <c r="G331" s="125">
        <f ca="1">DATEDIF(E331,TODAY(),"Y")</f>
        <v>12</v>
      </c>
      <c r="I331" s="220">
        <v>57410</v>
      </c>
      <c r="J331" s="219">
        <v>2</v>
      </c>
    </row>
    <row r="332" spans="1:10" x14ac:dyDescent="0.25">
      <c r="A332" s="222" t="s">
        <v>906</v>
      </c>
      <c r="B332" s="125" t="s">
        <v>271</v>
      </c>
      <c r="C332" s="125" t="s">
        <v>465</v>
      </c>
      <c r="D332" s="125" t="s">
        <v>247</v>
      </c>
      <c r="E332" s="221">
        <v>40680</v>
      </c>
      <c r="F332" s="125" t="str">
        <f>CHOOSE(MONTH(E332),"January","February","March","April","May","June","July","August","September","October","November","December")</f>
        <v>May</v>
      </c>
      <c r="G332" s="125">
        <f ca="1">DATEDIF(E332,TODAY(),"Y")</f>
        <v>5</v>
      </c>
      <c r="I332" s="220">
        <v>57110</v>
      </c>
      <c r="J332" s="219">
        <v>3</v>
      </c>
    </row>
    <row r="333" spans="1:10" x14ac:dyDescent="0.25">
      <c r="A333" s="222" t="s">
        <v>635</v>
      </c>
      <c r="B333" s="125" t="s">
        <v>285</v>
      </c>
      <c r="C333" s="125" t="s">
        <v>465</v>
      </c>
      <c r="D333" s="125" t="s">
        <v>256</v>
      </c>
      <c r="E333" s="221">
        <v>33613</v>
      </c>
      <c r="F333" s="125" t="str">
        <f>CHOOSE(MONTH(E333),"January","February","March","April","May","June","July","August","September","October","November","December")</f>
        <v>January</v>
      </c>
      <c r="G333" s="125">
        <f ca="1">DATEDIF(E333,TODAY(),"Y")</f>
        <v>24</v>
      </c>
      <c r="H333" s="125" t="s">
        <v>586</v>
      </c>
      <c r="I333" s="220">
        <v>56900</v>
      </c>
      <c r="J333" s="219">
        <v>5</v>
      </c>
    </row>
    <row r="334" spans="1:10" x14ac:dyDescent="0.25">
      <c r="A334" s="222" t="s">
        <v>313</v>
      </c>
      <c r="B334" s="125" t="s">
        <v>251</v>
      </c>
      <c r="C334" s="125" t="s">
        <v>465</v>
      </c>
      <c r="D334" s="125" t="s">
        <v>261</v>
      </c>
      <c r="E334" s="221">
        <v>34583</v>
      </c>
      <c r="F334" s="125" t="str">
        <f>CHOOSE(MONTH(E334),"January","February","March","April","May","June","July","August","September","October","November","December")</f>
        <v>September</v>
      </c>
      <c r="G334" s="125">
        <f ca="1">DATEDIF(E334,TODAY(),"Y")</f>
        <v>22</v>
      </c>
      <c r="H334" s="125" t="s">
        <v>262</v>
      </c>
      <c r="I334" s="220">
        <v>15260</v>
      </c>
      <c r="J334" s="219">
        <v>2</v>
      </c>
    </row>
    <row r="335" spans="1:10" x14ac:dyDescent="0.25">
      <c r="A335" s="222" t="s">
        <v>760</v>
      </c>
      <c r="B335" s="125" t="s">
        <v>245</v>
      </c>
      <c r="C335" s="125" t="s">
        <v>465</v>
      </c>
      <c r="D335" s="125" t="s">
        <v>247</v>
      </c>
      <c r="E335" s="221">
        <v>38537</v>
      </c>
      <c r="F335" s="125" t="str">
        <f>CHOOSE(MONTH(E335),"January","February","March","April","May","June","July","August","September","October","November","December")</f>
        <v>July</v>
      </c>
      <c r="G335" s="125">
        <f ca="1">DATEDIF(E335,TODAY(),"Y")</f>
        <v>11</v>
      </c>
      <c r="I335" s="220">
        <v>39680</v>
      </c>
      <c r="J335" s="219">
        <v>1</v>
      </c>
    </row>
    <row r="336" spans="1:10" x14ac:dyDescent="0.25">
      <c r="A336" s="222" t="s">
        <v>813</v>
      </c>
      <c r="B336" s="125" t="s">
        <v>266</v>
      </c>
      <c r="C336" s="125" t="s">
        <v>465</v>
      </c>
      <c r="D336" s="125" t="s">
        <v>256</v>
      </c>
      <c r="E336" s="221">
        <v>37936</v>
      </c>
      <c r="F336" s="125" t="str">
        <f>CHOOSE(MONTH(E336),"January","February","March","April","May","June","July","August","September","October","November","December")</f>
        <v>November</v>
      </c>
      <c r="G336" s="125">
        <f ca="1">DATEDIF(E336,TODAY(),"Y")</f>
        <v>12</v>
      </c>
      <c r="H336" s="125" t="s">
        <v>283</v>
      </c>
      <c r="I336" s="220">
        <v>30920</v>
      </c>
      <c r="J336" s="219">
        <v>5</v>
      </c>
    </row>
    <row r="337" spans="1:10" x14ac:dyDescent="0.25">
      <c r="A337" s="222" t="s">
        <v>286</v>
      </c>
      <c r="B337" s="125" t="s">
        <v>245</v>
      </c>
      <c r="C337" s="125" t="s">
        <v>465</v>
      </c>
      <c r="D337" s="125" t="s">
        <v>256</v>
      </c>
      <c r="E337" s="221">
        <v>35938</v>
      </c>
      <c r="F337" s="125" t="str">
        <f>CHOOSE(MONTH(E337),"January","February","March","April","May","June","July","August","September","October","November","December")</f>
        <v>May</v>
      </c>
      <c r="G337" s="125">
        <f ca="1">DATEDIF(E337,TODAY(),"Y")</f>
        <v>18</v>
      </c>
      <c r="H337" s="125" t="s">
        <v>267</v>
      </c>
      <c r="I337" s="220">
        <v>55450</v>
      </c>
      <c r="J337" s="219">
        <v>5</v>
      </c>
    </row>
    <row r="338" spans="1:10" x14ac:dyDescent="0.25">
      <c r="A338" s="222" t="s">
        <v>423</v>
      </c>
      <c r="B338" s="125" t="s">
        <v>245</v>
      </c>
      <c r="C338" s="125" t="s">
        <v>465</v>
      </c>
      <c r="D338" s="125" t="s">
        <v>252</v>
      </c>
      <c r="E338" s="221">
        <v>35490</v>
      </c>
      <c r="F338" s="125" t="str">
        <f>CHOOSE(MONTH(E338),"January","February","March","April","May","June","July","August","September","October","November","December")</f>
        <v>March</v>
      </c>
      <c r="G338" s="125">
        <f ca="1">DATEDIF(E338,TODAY(),"Y")</f>
        <v>19</v>
      </c>
      <c r="I338" s="220">
        <v>22472</v>
      </c>
      <c r="J338" s="219">
        <v>1</v>
      </c>
    </row>
    <row r="339" spans="1:10" x14ac:dyDescent="0.25">
      <c r="A339" s="222" t="s">
        <v>460</v>
      </c>
      <c r="B339" s="125" t="s">
        <v>285</v>
      </c>
      <c r="C339" s="125" t="s">
        <v>465</v>
      </c>
      <c r="D339" s="125" t="s">
        <v>256</v>
      </c>
      <c r="E339" s="221">
        <v>37866</v>
      </c>
      <c r="F339" s="125" t="str">
        <f>CHOOSE(MONTH(E339),"January","February","March","April","May","June","July","August","September","October","November","December")</f>
        <v>September</v>
      </c>
      <c r="G339" s="125">
        <f ca="1">DATEDIF(E339,TODAY(),"Y")</f>
        <v>13</v>
      </c>
      <c r="H339" s="125" t="s">
        <v>262</v>
      </c>
      <c r="I339" s="220">
        <v>54230</v>
      </c>
      <c r="J339" s="219">
        <v>5</v>
      </c>
    </row>
    <row r="340" spans="1:10" x14ac:dyDescent="0.25">
      <c r="A340" s="222" t="s">
        <v>911</v>
      </c>
      <c r="B340" s="125" t="s">
        <v>280</v>
      </c>
      <c r="C340" s="125" t="s">
        <v>465</v>
      </c>
      <c r="D340" s="125" t="s">
        <v>256</v>
      </c>
      <c r="E340" s="221">
        <v>39348</v>
      </c>
      <c r="F340" s="125" t="str">
        <f>CHOOSE(MONTH(E340),"January","February","March","April","May","June","July","August","September","October","November","December")</f>
        <v>September</v>
      </c>
      <c r="G340" s="125">
        <f ca="1">DATEDIF(E340,TODAY(),"Y")</f>
        <v>9</v>
      </c>
      <c r="H340" s="125" t="s">
        <v>257</v>
      </c>
      <c r="I340" s="220">
        <v>46220</v>
      </c>
      <c r="J340" s="219">
        <v>2</v>
      </c>
    </row>
    <row r="341" spans="1:10" x14ac:dyDescent="0.25">
      <c r="A341" s="222" t="s">
        <v>481</v>
      </c>
      <c r="B341" s="125" t="s">
        <v>271</v>
      </c>
      <c r="C341" s="125" t="s">
        <v>465</v>
      </c>
      <c r="D341" s="125" t="s">
        <v>247</v>
      </c>
      <c r="E341" s="221">
        <v>35349</v>
      </c>
      <c r="F341" s="125" t="str">
        <f>CHOOSE(MONTH(E341),"January","February","March","April","May","June","July","August","September","October","November","December")</f>
        <v>October</v>
      </c>
      <c r="G341" s="125">
        <f ca="1">DATEDIF(E341,TODAY(),"Y")</f>
        <v>20</v>
      </c>
      <c r="I341" s="220">
        <v>52940</v>
      </c>
      <c r="J341" s="219">
        <v>4</v>
      </c>
    </row>
    <row r="342" spans="1:10" x14ac:dyDescent="0.25">
      <c r="A342" s="222" t="s">
        <v>615</v>
      </c>
      <c r="B342" s="125" t="s">
        <v>271</v>
      </c>
      <c r="C342" s="125" t="s">
        <v>465</v>
      </c>
      <c r="D342" s="125" t="s">
        <v>256</v>
      </c>
      <c r="E342" s="221">
        <v>33631</v>
      </c>
      <c r="F342" s="125" t="str">
        <f>CHOOSE(MONTH(E342),"January","February","March","April","May","June","July","August","September","October","November","December")</f>
        <v>January</v>
      </c>
      <c r="G342" s="125">
        <f ca="1">DATEDIF(E342,TODAY(),"Y")</f>
        <v>24</v>
      </c>
      <c r="H342" s="125" t="s">
        <v>257</v>
      </c>
      <c r="I342" s="220">
        <v>52940</v>
      </c>
      <c r="J342" s="219">
        <v>4</v>
      </c>
    </row>
    <row r="343" spans="1:10" x14ac:dyDescent="0.25">
      <c r="A343" s="222" t="s">
        <v>722</v>
      </c>
      <c r="B343" s="125" t="s">
        <v>251</v>
      </c>
      <c r="C343" s="125" t="s">
        <v>465</v>
      </c>
      <c r="D343" s="125" t="s">
        <v>261</v>
      </c>
      <c r="E343" s="221">
        <v>35807</v>
      </c>
      <c r="F343" s="125" t="str">
        <f>CHOOSE(MONTH(E343),"January","February","March","April","May","June","July","August","September","October","November","December")</f>
        <v>January</v>
      </c>
      <c r="G343" s="125">
        <f ca="1">DATEDIF(E343,TODAY(),"Y")</f>
        <v>18</v>
      </c>
      <c r="H343" s="125" t="s">
        <v>257</v>
      </c>
      <c r="I343" s="220">
        <v>48835</v>
      </c>
      <c r="J343" s="219">
        <v>5</v>
      </c>
    </row>
    <row r="344" spans="1:10" x14ac:dyDescent="0.25">
      <c r="A344" s="222" t="s">
        <v>680</v>
      </c>
      <c r="B344" s="125" t="s">
        <v>251</v>
      </c>
      <c r="C344" s="125" t="s">
        <v>465</v>
      </c>
      <c r="D344" s="125" t="s">
        <v>247</v>
      </c>
      <c r="E344" s="221">
        <v>37326</v>
      </c>
      <c r="F344" s="125" t="str">
        <f>CHOOSE(MONTH(E344),"January","February","March","April","May","June","July","August","September","October","November","December")</f>
        <v>March</v>
      </c>
      <c r="G344" s="125">
        <f ca="1">DATEDIF(E344,TODAY(),"Y")</f>
        <v>14</v>
      </c>
      <c r="I344" s="220">
        <v>52770</v>
      </c>
      <c r="J344" s="219">
        <v>2</v>
      </c>
    </row>
    <row r="345" spans="1:10" x14ac:dyDescent="0.25">
      <c r="A345" s="222" t="s">
        <v>593</v>
      </c>
      <c r="B345" s="125" t="s">
        <v>271</v>
      </c>
      <c r="C345" s="125" t="s">
        <v>465</v>
      </c>
      <c r="D345" s="125" t="s">
        <v>261</v>
      </c>
      <c r="E345" s="221">
        <v>36177</v>
      </c>
      <c r="F345" s="125" t="str">
        <f>CHOOSE(MONTH(E345),"January","February","March","April","May","June","July","August","September","October","November","December")</f>
        <v>January</v>
      </c>
      <c r="G345" s="125">
        <f ca="1">DATEDIF(E345,TODAY(),"Y")</f>
        <v>17</v>
      </c>
      <c r="H345" s="125" t="s">
        <v>267</v>
      </c>
      <c r="I345" s="220">
        <v>21670</v>
      </c>
      <c r="J345" s="219">
        <v>2</v>
      </c>
    </row>
    <row r="346" spans="1:10" x14ac:dyDescent="0.25">
      <c r="A346" s="222" t="s">
        <v>1013</v>
      </c>
      <c r="B346" s="125" t="s">
        <v>271</v>
      </c>
      <c r="C346" s="125" t="s">
        <v>465</v>
      </c>
      <c r="D346" s="125" t="s">
        <v>252</v>
      </c>
      <c r="E346" s="221">
        <v>40574</v>
      </c>
      <c r="F346" s="125" t="str">
        <f>CHOOSE(MONTH(E346),"January","February","March","April","May","June","July","August","September","October","November","December")</f>
        <v>January</v>
      </c>
      <c r="G346" s="125">
        <f ca="1">DATEDIF(E346,TODAY(),"Y")</f>
        <v>5</v>
      </c>
      <c r="I346" s="220">
        <v>28424</v>
      </c>
      <c r="J346" s="219">
        <v>4</v>
      </c>
    </row>
    <row r="347" spans="1:10" x14ac:dyDescent="0.25">
      <c r="A347" s="223" t="s">
        <v>618</v>
      </c>
    </row>
    <row r="348" spans="1:10" x14ac:dyDescent="0.25">
      <c r="A348" s="222" t="s">
        <v>889</v>
      </c>
      <c r="B348" s="125" t="s">
        <v>245</v>
      </c>
      <c r="C348" s="125" t="s">
        <v>618</v>
      </c>
      <c r="D348" s="125" t="s">
        <v>247</v>
      </c>
      <c r="E348" s="221">
        <v>36765</v>
      </c>
      <c r="F348" s="125" t="str">
        <f>CHOOSE(MONTH(E348),"January","February","March","April","May","June","July","August","September","October","November","December")</f>
        <v>August</v>
      </c>
      <c r="G348" s="125">
        <f ca="1">DATEDIF(E348,TODAY(),"Y")</f>
        <v>16</v>
      </c>
      <c r="I348" s="220">
        <v>74500</v>
      </c>
      <c r="J348" s="219">
        <v>4</v>
      </c>
    </row>
    <row r="349" spans="1:10" x14ac:dyDescent="0.25">
      <c r="A349" s="222" t="s">
        <v>612</v>
      </c>
      <c r="B349" s="125" t="s">
        <v>245</v>
      </c>
      <c r="C349" s="125" t="s">
        <v>618</v>
      </c>
      <c r="D349" s="125" t="s">
        <v>256</v>
      </c>
      <c r="E349" s="221">
        <v>39038</v>
      </c>
      <c r="F349" s="125" t="str">
        <f>CHOOSE(MONTH(E349),"January","February","March","April","May","June","July","August","September","October","November","December")</f>
        <v>November</v>
      </c>
      <c r="G349" s="125">
        <f ca="1">DATEDIF(E349,TODAY(),"Y")</f>
        <v>9</v>
      </c>
      <c r="H349" s="125" t="s">
        <v>276</v>
      </c>
      <c r="I349" s="220">
        <v>71400</v>
      </c>
      <c r="J349" s="219">
        <v>4</v>
      </c>
    </row>
    <row r="350" spans="1:10" x14ac:dyDescent="0.25">
      <c r="A350" s="222" t="s">
        <v>530</v>
      </c>
      <c r="B350" s="125" t="s">
        <v>280</v>
      </c>
      <c r="C350" s="125" t="s">
        <v>618</v>
      </c>
      <c r="D350" s="125" t="s">
        <v>256</v>
      </c>
      <c r="E350" s="221">
        <v>33832</v>
      </c>
      <c r="F350" s="125" t="str">
        <f>CHOOSE(MONTH(E350),"January","February","March","April","May","June","July","August","September","October","November","December")</f>
        <v>August</v>
      </c>
      <c r="G350" s="125">
        <f ca="1">DATEDIF(E350,TODAY(),"Y")</f>
        <v>24</v>
      </c>
      <c r="H350" s="125" t="s">
        <v>257</v>
      </c>
      <c r="I350" s="220">
        <v>39160</v>
      </c>
      <c r="J350" s="219">
        <v>3</v>
      </c>
    </row>
    <row r="351" spans="1:10" x14ac:dyDescent="0.25">
      <c r="A351" s="222" t="s">
        <v>368</v>
      </c>
      <c r="B351" s="125" t="s">
        <v>266</v>
      </c>
      <c r="C351" s="125" t="s">
        <v>618</v>
      </c>
      <c r="D351" s="125" t="s">
        <v>247</v>
      </c>
      <c r="E351" s="221">
        <v>40292</v>
      </c>
      <c r="F351" s="125" t="str">
        <f>CHOOSE(MONTH(E351),"January","February","March","April","May","June","July","August","September","October","November","December")</f>
        <v>April</v>
      </c>
      <c r="G351" s="125">
        <f ca="1">DATEDIF(E351,TODAY(),"Y")</f>
        <v>6</v>
      </c>
      <c r="I351" s="220">
        <v>61890</v>
      </c>
      <c r="J351" s="219">
        <v>2</v>
      </c>
    </row>
    <row r="352" spans="1:10" x14ac:dyDescent="0.25">
      <c r="A352" s="222" t="s">
        <v>281</v>
      </c>
      <c r="B352" s="125" t="s">
        <v>251</v>
      </c>
      <c r="C352" s="125" t="s">
        <v>618</v>
      </c>
      <c r="D352" s="125" t="s">
        <v>256</v>
      </c>
      <c r="E352" s="221">
        <v>37407</v>
      </c>
      <c r="F352" s="125" t="str">
        <f>CHOOSE(MONTH(E352),"January","February","March","April","May","June","July","August","September","October","November","December")</f>
        <v>May</v>
      </c>
      <c r="G352" s="125">
        <f ca="1">DATEDIF(E352,TODAY(),"Y")</f>
        <v>14</v>
      </c>
      <c r="H352" s="125" t="s">
        <v>257</v>
      </c>
      <c r="I352" s="220">
        <v>59140</v>
      </c>
      <c r="J352" s="219">
        <v>5</v>
      </c>
    </row>
    <row r="353" spans="1:10" x14ac:dyDescent="0.25">
      <c r="A353" s="222" t="s">
        <v>920</v>
      </c>
      <c r="B353" s="125" t="s">
        <v>285</v>
      </c>
      <c r="C353" s="125" t="s">
        <v>618</v>
      </c>
      <c r="D353" s="125" t="s">
        <v>256</v>
      </c>
      <c r="E353" s="221">
        <v>37936</v>
      </c>
      <c r="F353" s="125" t="str">
        <f>CHOOSE(MONTH(E353),"January","February","March","April","May","June","July","August","September","October","November","December")</f>
        <v>November</v>
      </c>
      <c r="G353" s="125">
        <f ca="1">DATEDIF(E353,TODAY(),"Y")</f>
        <v>12</v>
      </c>
      <c r="H353" s="125" t="s">
        <v>283</v>
      </c>
      <c r="I353" s="220">
        <v>53870</v>
      </c>
      <c r="J353" s="219">
        <v>2</v>
      </c>
    </row>
    <row r="354" spans="1:10" x14ac:dyDescent="0.25">
      <c r="A354" s="222" t="s">
        <v>505</v>
      </c>
      <c r="B354" s="125" t="s">
        <v>266</v>
      </c>
      <c r="C354" s="125" t="s">
        <v>618</v>
      </c>
      <c r="D354" s="125" t="s">
        <v>256</v>
      </c>
      <c r="E354" s="221">
        <v>40313</v>
      </c>
      <c r="F354" s="125" t="str">
        <f>CHOOSE(MONTH(E354),"January","February","March","April","May","June","July","August","September","October","November","December")</f>
        <v>May</v>
      </c>
      <c r="G354" s="125">
        <f ca="1">DATEDIF(E354,TODAY(),"Y")</f>
        <v>6</v>
      </c>
      <c r="H354" s="125" t="s">
        <v>283</v>
      </c>
      <c r="I354" s="220">
        <v>27250</v>
      </c>
      <c r="J354" s="219">
        <v>5</v>
      </c>
    </row>
    <row r="355" spans="1:10" x14ac:dyDescent="0.25">
      <c r="A355" s="223" t="s">
        <v>626</v>
      </c>
    </row>
    <row r="356" spans="1:10" x14ac:dyDescent="0.25">
      <c r="A356" s="222" t="s">
        <v>675</v>
      </c>
      <c r="B356" s="125" t="s">
        <v>245</v>
      </c>
      <c r="C356" s="125" t="s">
        <v>626</v>
      </c>
      <c r="D356" s="125" t="s">
        <v>256</v>
      </c>
      <c r="E356" s="221">
        <v>36940</v>
      </c>
      <c r="F356" s="125" t="str">
        <f>CHOOSE(MONTH(E356),"January","February","March","April","May","June","July","August","September","October","November","December")</f>
        <v>February</v>
      </c>
      <c r="G356" s="125">
        <f ca="1">DATEDIF(E356,TODAY(),"Y")</f>
        <v>15</v>
      </c>
      <c r="H356" s="125" t="s">
        <v>257</v>
      </c>
      <c r="I356" s="220">
        <v>48990</v>
      </c>
      <c r="J356" s="219">
        <v>5</v>
      </c>
    </row>
    <row r="357" spans="1:10" x14ac:dyDescent="0.25">
      <c r="A357" s="222" t="s">
        <v>761</v>
      </c>
      <c r="B357" s="125" t="s">
        <v>245</v>
      </c>
      <c r="C357" s="125" t="s">
        <v>626</v>
      </c>
      <c r="D357" s="125" t="s">
        <v>256</v>
      </c>
      <c r="E357" s="221">
        <v>35254</v>
      </c>
      <c r="F357" s="125" t="str">
        <f>CHOOSE(MONTH(E357),"January","February","March","April","May","June","July","August","September","October","November","December")</f>
        <v>July</v>
      </c>
      <c r="G357" s="125">
        <f ca="1">DATEDIF(E357,TODAY(),"Y")</f>
        <v>20</v>
      </c>
      <c r="H357" s="125" t="s">
        <v>257</v>
      </c>
      <c r="I357" s="220">
        <v>48800</v>
      </c>
      <c r="J357" s="219">
        <v>4</v>
      </c>
    </row>
    <row r="358" spans="1:10" x14ac:dyDescent="0.25">
      <c r="A358" s="222" t="s">
        <v>338</v>
      </c>
      <c r="B358" s="125" t="s">
        <v>285</v>
      </c>
      <c r="C358" s="125" t="s">
        <v>626</v>
      </c>
      <c r="D358" s="125" t="s">
        <v>256</v>
      </c>
      <c r="E358" s="221">
        <v>33606</v>
      </c>
      <c r="F358" s="125" t="str">
        <f>CHOOSE(MONTH(E358),"January","February","March","April","May","June","July","August","September","October","November","December")</f>
        <v>January</v>
      </c>
      <c r="G358" s="125">
        <f ca="1">DATEDIF(E358,TODAY(),"Y")</f>
        <v>24</v>
      </c>
      <c r="H358" s="125" t="s">
        <v>262</v>
      </c>
      <c r="I358" s="220">
        <v>87120</v>
      </c>
      <c r="J358" s="219">
        <v>3</v>
      </c>
    </row>
    <row r="359" spans="1:10" x14ac:dyDescent="0.25">
      <c r="A359" s="222" t="s">
        <v>466</v>
      </c>
      <c r="B359" s="125" t="s">
        <v>245</v>
      </c>
      <c r="C359" s="125" t="s">
        <v>626</v>
      </c>
      <c r="D359" s="125" t="s">
        <v>256</v>
      </c>
      <c r="E359" s="221">
        <v>35856</v>
      </c>
      <c r="F359" s="125" t="str">
        <f>CHOOSE(MONTH(E359),"January","February","March","April","May","June","July","August","September","October","November","December")</f>
        <v>March</v>
      </c>
      <c r="G359" s="125">
        <f ca="1">DATEDIF(E359,TODAY(),"Y")</f>
        <v>18</v>
      </c>
      <c r="H359" s="125" t="s">
        <v>276</v>
      </c>
      <c r="I359" s="220">
        <v>86830</v>
      </c>
      <c r="J359" s="219">
        <v>3</v>
      </c>
    </row>
    <row r="360" spans="1:10" x14ac:dyDescent="0.25">
      <c r="A360" s="222" t="s">
        <v>431</v>
      </c>
      <c r="B360" s="125" t="s">
        <v>285</v>
      </c>
      <c r="C360" s="125" t="s">
        <v>626</v>
      </c>
      <c r="D360" s="125" t="s">
        <v>256</v>
      </c>
      <c r="E360" s="221">
        <v>34067</v>
      </c>
      <c r="F360" s="125" t="str">
        <f>CHOOSE(MONTH(E360),"January","February","March","April","May","June","July","August","September","October","November","December")</f>
        <v>April</v>
      </c>
      <c r="G360" s="125">
        <f ca="1">DATEDIF(E360,TODAY(),"Y")</f>
        <v>23</v>
      </c>
      <c r="H360" s="125" t="s">
        <v>267</v>
      </c>
      <c r="I360" s="220">
        <v>86540</v>
      </c>
      <c r="J360" s="219">
        <v>4</v>
      </c>
    </row>
    <row r="361" spans="1:10" x14ac:dyDescent="0.25">
      <c r="A361" s="222" t="s">
        <v>987</v>
      </c>
      <c r="B361" s="125" t="s">
        <v>245</v>
      </c>
      <c r="C361" s="125" t="s">
        <v>626</v>
      </c>
      <c r="D361" s="125" t="s">
        <v>247</v>
      </c>
      <c r="E361" s="221">
        <v>36192</v>
      </c>
      <c r="F361" s="125" t="str">
        <f>CHOOSE(MONTH(E361),"January","February","March","April","May","June","July","August","September","October","November","December")</f>
        <v>February</v>
      </c>
      <c r="G361" s="125">
        <f ca="1">DATEDIF(E361,TODAY(),"Y")</f>
        <v>17</v>
      </c>
      <c r="I361" s="220">
        <v>47620</v>
      </c>
      <c r="J361" s="219">
        <v>5</v>
      </c>
    </row>
    <row r="362" spans="1:10" x14ac:dyDescent="0.25">
      <c r="A362" s="222" t="s">
        <v>524</v>
      </c>
      <c r="B362" s="125" t="s">
        <v>271</v>
      </c>
      <c r="C362" s="125" t="s">
        <v>626</v>
      </c>
      <c r="D362" s="125" t="s">
        <v>256</v>
      </c>
      <c r="E362" s="221">
        <v>35857</v>
      </c>
      <c r="F362" s="125" t="str">
        <f>CHOOSE(MONTH(E362),"January","February","March","April","May","June","July","August","September","October","November","December")</f>
        <v>March</v>
      </c>
      <c r="G362" s="125">
        <f ca="1">DATEDIF(E362,TODAY(),"Y")</f>
        <v>18</v>
      </c>
      <c r="H362" s="125" t="s">
        <v>283</v>
      </c>
      <c r="I362" s="220">
        <v>82110</v>
      </c>
      <c r="J362" s="219">
        <v>3</v>
      </c>
    </row>
    <row r="363" spans="1:10" x14ac:dyDescent="0.25">
      <c r="A363" s="222" t="s">
        <v>347</v>
      </c>
      <c r="B363" s="125" t="s">
        <v>280</v>
      </c>
      <c r="C363" s="125" t="s">
        <v>626</v>
      </c>
      <c r="D363" s="125" t="s">
        <v>247</v>
      </c>
      <c r="E363" s="221">
        <v>34947</v>
      </c>
      <c r="F363" s="125" t="str">
        <f>CHOOSE(MONTH(E363),"January","February","March","April","May","June","July","August","September","October","November","December")</f>
        <v>September</v>
      </c>
      <c r="G363" s="125">
        <f ca="1">DATEDIF(E363,TODAY(),"Y")</f>
        <v>21</v>
      </c>
      <c r="I363" s="220">
        <v>81930</v>
      </c>
      <c r="J363" s="219">
        <v>5</v>
      </c>
    </row>
    <row r="364" spans="1:10" x14ac:dyDescent="0.25">
      <c r="A364" s="222" t="s">
        <v>407</v>
      </c>
      <c r="B364" s="125" t="s">
        <v>285</v>
      </c>
      <c r="C364" s="125" t="s">
        <v>626</v>
      </c>
      <c r="D364" s="125" t="s">
        <v>256</v>
      </c>
      <c r="E364" s="221">
        <v>35547</v>
      </c>
      <c r="F364" s="125" t="str">
        <f>CHOOSE(MONTH(E364),"January","February","March","April","May","June","July","August","September","October","November","December")</f>
        <v>April</v>
      </c>
      <c r="G364" s="125">
        <f ca="1">DATEDIF(E364,TODAY(),"Y")</f>
        <v>19</v>
      </c>
      <c r="H364" s="125" t="s">
        <v>257</v>
      </c>
      <c r="I364" s="220">
        <v>81640</v>
      </c>
      <c r="J364" s="219">
        <v>4</v>
      </c>
    </row>
    <row r="365" spans="1:10" x14ac:dyDescent="0.25">
      <c r="A365" s="222" t="s">
        <v>383</v>
      </c>
      <c r="B365" s="125" t="s">
        <v>280</v>
      </c>
      <c r="C365" s="125" t="s">
        <v>626</v>
      </c>
      <c r="D365" s="125" t="s">
        <v>261</v>
      </c>
      <c r="E365" s="221">
        <v>36371</v>
      </c>
      <c r="F365" s="125" t="str">
        <f>CHOOSE(MONTH(E365),"January","February","March","April","May","June","July","August","September","October","November","December")</f>
        <v>July</v>
      </c>
      <c r="G365" s="125">
        <f ca="1">DATEDIF(E365,TODAY(),"Y")</f>
        <v>17</v>
      </c>
      <c r="H365" s="125" t="s">
        <v>283</v>
      </c>
      <c r="I365" s="220">
        <v>26790</v>
      </c>
      <c r="J365" s="219">
        <v>2</v>
      </c>
    </row>
    <row r="366" spans="1:10" x14ac:dyDescent="0.25">
      <c r="A366" s="222" t="s">
        <v>842</v>
      </c>
      <c r="B366" s="125" t="s">
        <v>285</v>
      </c>
      <c r="C366" s="125" t="s">
        <v>626</v>
      </c>
      <c r="D366" s="125" t="s">
        <v>256</v>
      </c>
      <c r="E366" s="221">
        <v>36116</v>
      </c>
      <c r="F366" s="125" t="str">
        <f>CHOOSE(MONTH(E366),"January","February","March","April","May","June","July","August","September","October","November","December")</f>
        <v>November</v>
      </c>
      <c r="G366" s="125">
        <f ca="1">DATEDIF(E366,TODAY(),"Y")</f>
        <v>17</v>
      </c>
      <c r="H366" s="125" t="s">
        <v>276</v>
      </c>
      <c r="I366" s="220">
        <v>49770</v>
      </c>
      <c r="J366" s="219">
        <v>1</v>
      </c>
    </row>
    <row r="367" spans="1:10" x14ac:dyDescent="0.25">
      <c r="A367" s="222" t="s">
        <v>903</v>
      </c>
      <c r="B367" s="125" t="s">
        <v>245</v>
      </c>
      <c r="C367" s="125" t="s">
        <v>626</v>
      </c>
      <c r="D367" s="125" t="s">
        <v>261</v>
      </c>
      <c r="E367" s="221">
        <v>36121</v>
      </c>
      <c r="F367" s="125" t="str">
        <f>CHOOSE(MONTH(E367),"January","February","March","April","May","June","July","August","September","October","November","December")</f>
        <v>November</v>
      </c>
      <c r="G367" s="125">
        <f ca="1">DATEDIF(E367,TODAY(),"Y")</f>
        <v>17</v>
      </c>
      <c r="H367" s="125" t="s">
        <v>283</v>
      </c>
      <c r="I367" s="220">
        <v>28880</v>
      </c>
      <c r="J367" s="219">
        <v>3</v>
      </c>
    </row>
    <row r="368" spans="1:10" x14ac:dyDescent="0.25">
      <c r="A368" s="222" t="s">
        <v>336</v>
      </c>
      <c r="B368" s="125" t="s">
        <v>271</v>
      </c>
      <c r="C368" s="125" t="s">
        <v>626</v>
      </c>
      <c r="D368" s="125" t="s">
        <v>261</v>
      </c>
      <c r="E368" s="221">
        <v>37166</v>
      </c>
      <c r="F368" s="125" t="str">
        <f>CHOOSE(MONTH(E368),"January","February","March","April","May","June","July","August","September","October","November","December")</f>
        <v>October</v>
      </c>
      <c r="G368" s="125">
        <f ca="1">DATEDIF(E368,TODAY(),"Y")</f>
        <v>15</v>
      </c>
      <c r="H368" s="125" t="s">
        <v>262</v>
      </c>
      <c r="I368" s="220">
        <v>47295</v>
      </c>
      <c r="J368" s="219">
        <v>4</v>
      </c>
    </row>
    <row r="369" spans="1:10" x14ac:dyDescent="0.25">
      <c r="A369" s="222" t="s">
        <v>327</v>
      </c>
      <c r="B369" s="125" t="s">
        <v>266</v>
      </c>
      <c r="C369" s="125" t="s">
        <v>626</v>
      </c>
      <c r="D369" s="125" t="s">
        <v>256</v>
      </c>
      <c r="E369" s="221">
        <v>36297</v>
      </c>
      <c r="F369" s="125" t="str">
        <f>CHOOSE(MONTH(E369),"January","February","March","April","May","June","July","August","September","October","November","December")</f>
        <v>May</v>
      </c>
      <c r="G369" s="125">
        <f ca="1">DATEDIF(E369,TODAY(),"Y")</f>
        <v>17</v>
      </c>
      <c r="H369" s="125" t="s">
        <v>257</v>
      </c>
      <c r="I369" s="220">
        <v>46030</v>
      </c>
      <c r="J369" s="219">
        <v>2</v>
      </c>
    </row>
    <row r="370" spans="1:10" x14ac:dyDescent="0.25">
      <c r="A370" s="222" t="s">
        <v>764</v>
      </c>
      <c r="B370" s="125" t="s">
        <v>266</v>
      </c>
      <c r="C370" s="125" t="s">
        <v>626</v>
      </c>
      <c r="D370" s="125" t="s">
        <v>247</v>
      </c>
      <c r="E370" s="221">
        <v>34054</v>
      </c>
      <c r="F370" s="125" t="str">
        <f>CHOOSE(MONTH(E370),"January","February","March","April","May","June","July","August","September","October","November","December")</f>
        <v>March</v>
      </c>
      <c r="G370" s="125">
        <f ca="1">DATEDIF(E370,TODAY(),"Y")</f>
        <v>23</v>
      </c>
      <c r="I370" s="220">
        <v>29000</v>
      </c>
      <c r="J370" s="219">
        <v>5</v>
      </c>
    </row>
    <row r="371" spans="1:10" x14ac:dyDescent="0.25">
      <c r="A371" s="222" t="s">
        <v>470</v>
      </c>
      <c r="B371" s="125" t="s">
        <v>271</v>
      </c>
      <c r="C371" s="125" t="s">
        <v>626</v>
      </c>
      <c r="D371" s="125" t="s">
        <v>247</v>
      </c>
      <c r="E371" s="221">
        <v>35776</v>
      </c>
      <c r="F371" s="125" t="str">
        <f>CHOOSE(MONTH(E371),"January","February","March","April","May","June","July","August","September","October","November","December")</f>
        <v>December</v>
      </c>
      <c r="G371" s="125">
        <f ca="1">DATEDIF(E371,TODAY(),"Y")</f>
        <v>18</v>
      </c>
      <c r="I371" s="220">
        <v>77930</v>
      </c>
      <c r="J371" s="219">
        <v>5</v>
      </c>
    </row>
    <row r="372" spans="1:10" x14ac:dyDescent="0.25">
      <c r="A372" s="222" t="s">
        <v>798</v>
      </c>
      <c r="B372" s="125" t="s">
        <v>271</v>
      </c>
      <c r="C372" s="125" t="s">
        <v>626</v>
      </c>
      <c r="D372" s="125" t="s">
        <v>256</v>
      </c>
      <c r="E372" s="221">
        <v>40447</v>
      </c>
      <c r="F372" s="125" t="str">
        <f>CHOOSE(MONTH(E372),"January","February","March","April","May","June","July","August","September","October","November","December")</f>
        <v>September</v>
      </c>
      <c r="G372" s="125">
        <f ca="1">DATEDIF(E372,TODAY(),"Y")</f>
        <v>6</v>
      </c>
      <c r="H372" s="125" t="s">
        <v>257</v>
      </c>
      <c r="I372" s="220">
        <v>33970</v>
      </c>
      <c r="J372" s="219">
        <v>4</v>
      </c>
    </row>
    <row r="373" spans="1:10" x14ac:dyDescent="0.25">
      <c r="A373" s="222" t="s">
        <v>333</v>
      </c>
      <c r="B373" s="125" t="s">
        <v>271</v>
      </c>
      <c r="C373" s="125" t="s">
        <v>626</v>
      </c>
      <c r="D373" s="125" t="s">
        <v>256</v>
      </c>
      <c r="E373" s="221">
        <v>40361</v>
      </c>
      <c r="F373" s="125" t="str">
        <f>CHOOSE(MONTH(E373),"January","February","March","April","May","June","July","August","September","October","November","December")</f>
        <v>July</v>
      </c>
      <c r="G373" s="125">
        <f ca="1">DATEDIF(E373,TODAY(),"Y")</f>
        <v>6</v>
      </c>
      <c r="H373" s="125" t="s">
        <v>267</v>
      </c>
      <c r="I373" s="220">
        <v>75780</v>
      </c>
      <c r="J373" s="219">
        <v>2</v>
      </c>
    </row>
    <row r="374" spans="1:10" x14ac:dyDescent="0.25">
      <c r="A374" s="222" t="s">
        <v>686</v>
      </c>
      <c r="B374" s="125" t="s">
        <v>285</v>
      </c>
      <c r="C374" s="125" t="s">
        <v>626</v>
      </c>
      <c r="D374" s="125" t="s">
        <v>256</v>
      </c>
      <c r="E374" s="221">
        <v>34034</v>
      </c>
      <c r="F374" s="125" t="str">
        <f>CHOOSE(MONTH(E374),"January","February","March","April","May","June","July","August","September","October","November","December")</f>
        <v>March</v>
      </c>
      <c r="G374" s="125">
        <f ca="1">DATEDIF(E374,TODAY(),"Y")</f>
        <v>23</v>
      </c>
      <c r="H374" s="125" t="s">
        <v>267</v>
      </c>
      <c r="I374" s="220">
        <v>45180</v>
      </c>
      <c r="J374" s="219">
        <v>5</v>
      </c>
    </row>
    <row r="375" spans="1:10" x14ac:dyDescent="0.25">
      <c r="A375" s="222" t="s">
        <v>494</v>
      </c>
      <c r="B375" s="125" t="s">
        <v>271</v>
      </c>
      <c r="C375" s="125" t="s">
        <v>626</v>
      </c>
      <c r="D375" s="125" t="s">
        <v>247</v>
      </c>
      <c r="E375" s="221">
        <v>39283</v>
      </c>
      <c r="F375" s="125" t="str">
        <f>CHOOSE(MONTH(E375),"January","February","March","April","May","June","July","August","September","October","November","December")</f>
        <v>July</v>
      </c>
      <c r="G375" s="125">
        <f ca="1">DATEDIF(E375,TODAY(),"Y")</f>
        <v>9</v>
      </c>
      <c r="I375" s="220">
        <v>74470</v>
      </c>
      <c r="J375" s="219">
        <v>3</v>
      </c>
    </row>
    <row r="376" spans="1:10" x14ac:dyDescent="0.25">
      <c r="A376" s="222" t="s">
        <v>712</v>
      </c>
      <c r="B376" s="125" t="s">
        <v>251</v>
      </c>
      <c r="C376" s="125" t="s">
        <v>626</v>
      </c>
      <c r="D376" s="125" t="s">
        <v>256</v>
      </c>
      <c r="E376" s="221">
        <v>33765</v>
      </c>
      <c r="F376" s="125" t="str">
        <f>CHOOSE(MONTH(E376),"January","February","March","April","May","June","July","August","September","October","November","December")</f>
        <v>June</v>
      </c>
      <c r="G376" s="125">
        <f ca="1">DATEDIF(E376,TODAY(),"Y")</f>
        <v>24</v>
      </c>
      <c r="H376" s="125" t="s">
        <v>262</v>
      </c>
      <c r="I376" s="220">
        <v>73930</v>
      </c>
      <c r="J376" s="219">
        <v>1</v>
      </c>
    </row>
    <row r="377" spans="1:10" x14ac:dyDescent="0.25">
      <c r="A377" s="222" t="s">
        <v>345</v>
      </c>
      <c r="B377" s="125" t="s">
        <v>245</v>
      </c>
      <c r="C377" s="125" t="s">
        <v>626</v>
      </c>
      <c r="D377" s="125" t="s">
        <v>256</v>
      </c>
      <c r="E377" s="221">
        <v>33223</v>
      </c>
      <c r="F377" s="125" t="str">
        <f>CHOOSE(MONTH(E377),"January","February","March","April","May","June","July","August","September","October","November","December")</f>
        <v>December</v>
      </c>
      <c r="G377" s="125">
        <f ca="1">DATEDIF(E377,TODAY(),"Y")</f>
        <v>25</v>
      </c>
      <c r="H377" s="125" t="s">
        <v>262</v>
      </c>
      <c r="I377" s="220">
        <v>31260</v>
      </c>
      <c r="J377" s="219">
        <v>5</v>
      </c>
    </row>
    <row r="378" spans="1:10" x14ac:dyDescent="0.25">
      <c r="A378" s="222" t="s">
        <v>826</v>
      </c>
      <c r="B378" s="125" t="s">
        <v>285</v>
      </c>
      <c r="C378" s="125" t="s">
        <v>626</v>
      </c>
      <c r="D378" s="125" t="s">
        <v>261</v>
      </c>
      <c r="E378" s="221">
        <v>38362</v>
      </c>
      <c r="F378" s="125" t="str">
        <f>CHOOSE(MONTH(E378),"January","February","March","April","May","June","July","August","September","October","November","December")</f>
        <v>January</v>
      </c>
      <c r="G378" s="125">
        <f ca="1">DATEDIF(E378,TODAY(),"Y")</f>
        <v>11</v>
      </c>
      <c r="H378" s="125" t="s">
        <v>257</v>
      </c>
      <c r="I378" s="220">
        <v>31255</v>
      </c>
      <c r="J378" s="219">
        <v>5</v>
      </c>
    </row>
    <row r="379" spans="1:10" x14ac:dyDescent="0.25">
      <c r="A379" s="222" t="s">
        <v>934</v>
      </c>
      <c r="B379" s="125" t="s">
        <v>271</v>
      </c>
      <c r="C379" s="125" t="s">
        <v>626</v>
      </c>
      <c r="D379" s="125" t="s">
        <v>261</v>
      </c>
      <c r="E379" s="221">
        <v>33319</v>
      </c>
      <c r="F379" s="125" t="str">
        <f>CHOOSE(MONTH(E379),"January","February","March","April","May","June","July","August","September","October","November","December")</f>
        <v>March</v>
      </c>
      <c r="G379" s="125">
        <f ca="1">DATEDIF(E379,TODAY(),"Y")</f>
        <v>25</v>
      </c>
      <c r="H379" s="125" t="s">
        <v>267</v>
      </c>
      <c r="I379" s="220">
        <v>13090</v>
      </c>
      <c r="J379" s="219">
        <v>4</v>
      </c>
    </row>
    <row r="380" spans="1:10" x14ac:dyDescent="0.25">
      <c r="A380" s="222" t="s">
        <v>783</v>
      </c>
      <c r="B380" s="125" t="s">
        <v>245</v>
      </c>
      <c r="C380" s="125" t="s">
        <v>626</v>
      </c>
      <c r="D380" s="125" t="s">
        <v>256</v>
      </c>
      <c r="E380" s="221">
        <v>33702</v>
      </c>
      <c r="F380" s="125" t="str">
        <f>CHOOSE(MONTH(E380),"January","February","March","April","May","June","July","August","September","October","November","December")</f>
        <v>April</v>
      </c>
      <c r="G380" s="125">
        <f ca="1">DATEDIF(E380,TODAY(),"Y")</f>
        <v>24</v>
      </c>
      <c r="H380" s="125" t="s">
        <v>257</v>
      </c>
      <c r="I380" s="220">
        <v>37020</v>
      </c>
      <c r="J380" s="219">
        <v>2</v>
      </c>
    </row>
    <row r="381" spans="1:10" x14ac:dyDescent="0.25">
      <c r="A381" s="222" t="s">
        <v>891</v>
      </c>
      <c r="B381" s="125" t="s">
        <v>245</v>
      </c>
      <c r="C381" s="125" t="s">
        <v>626</v>
      </c>
      <c r="D381" s="125" t="s">
        <v>256</v>
      </c>
      <c r="E381" s="221">
        <v>35220</v>
      </c>
      <c r="F381" s="125" t="str">
        <f>CHOOSE(MONTH(E381),"January","February","March","April","May","June","July","August","September","October","November","December")</f>
        <v>June</v>
      </c>
      <c r="G381" s="125">
        <f ca="1">DATEDIF(E381,TODAY(),"Y")</f>
        <v>20</v>
      </c>
      <c r="H381" s="125" t="s">
        <v>267</v>
      </c>
      <c r="I381" s="220">
        <v>70480</v>
      </c>
      <c r="J381" s="219">
        <v>4</v>
      </c>
    </row>
    <row r="382" spans="1:10" x14ac:dyDescent="0.25">
      <c r="A382" s="222" t="s">
        <v>565</v>
      </c>
      <c r="B382" s="125" t="s">
        <v>285</v>
      </c>
      <c r="C382" s="125" t="s">
        <v>626</v>
      </c>
      <c r="D382" s="125" t="s">
        <v>252</v>
      </c>
      <c r="E382" s="221">
        <v>33305</v>
      </c>
      <c r="F382" s="125" t="str">
        <f>CHOOSE(MONTH(E382),"January","February","March","April","May","June","July","August","September","October","November","December")</f>
        <v>March</v>
      </c>
      <c r="G382" s="125">
        <f ca="1">DATEDIF(E382,TODAY(),"Y")</f>
        <v>25</v>
      </c>
      <c r="I382" s="220">
        <v>36844</v>
      </c>
      <c r="J382" s="219">
        <v>4</v>
      </c>
    </row>
    <row r="383" spans="1:10" x14ac:dyDescent="0.25">
      <c r="A383" s="222" t="s">
        <v>794</v>
      </c>
      <c r="B383" s="125" t="s">
        <v>251</v>
      </c>
      <c r="C383" s="125" t="s">
        <v>626</v>
      </c>
      <c r="D383" s="125" t="s">
        <v>256</v>
      </c>
      <c r="E383" s="221">
        <v>33407</v>
      </c>
      <c r="F383" s="125" t="str">
        <f>CHOOSE(MONTH(E383),"January","February","March","April","May","June","July","August","September","October","November","December")</f>
        <v>June</v>
      </c>
      <c r="G383" s="125">
        <f ca="1">DATEDIF(E383,TODAY(),"Y")</f>
        <v>25</v>
      </c>
      <c r="H383" s="125" t="s">
        <v>257</v>
      </c>
      <c r="I383" s="220">
        <v>22900</v>
      </c>
      <c r="J383" s="219">
        <v>1</v>
      </c>
    </row>
    <row r="384" spans="1:10" x14ac:dyDescent="0.25">
      <c r="A384" s="222" t="s">
        <v>322</v>
      </c>
      <c r="B384" s="125" t="s">
        <v>266</v>
      </c>
      <c r="C384" s="125" t="s">
        <v>626</v>
      </c>
      <c r="D384" s="125" t="s">
        <v>256</v>
      </c>
      <c r="E384" s="221">
        <v>40083</v>
      </c>
      <c r="F384" s="125" t="str">
        <f>CHOOSE(MONTH(E384),"January","February","March","April","May","June","July","August","September","October","November","December")</f>
        <v>September</v>
      </c>
      <c r="G384" s="125">
        <f ca="1">DATEDIF(E384,TODAY(),"Y")</f>
        <v>7</v>
      </c>
      <c r="H384" s="125" t="s">
        <v>283</v>
      </c>
      <c r="I384" s="220">
        <v>44150</v>
      </c>
      <c r="J384" s="219">
        <v>4</v>
      </c>
    </row>
    <row r="385" spans="1:10" x14ac:dyDescent="0.25">
      <c r="A385" s="222" t="s">
        <v>658</v>
      </c>
      <c r="B385" s="125" t="s">
        <v>285</v>
      </c>
      <c r="C385" s="125" t="s">
        <v>626</v>
      </c>
      <c r="D385" s="125" t="s">
        <v>256</v>
      </c>
      <c r="E385" s="221">
        <v>34875</v>
      </c>
      <c r="F385" s="125" t="str">
        <f>CHOOSE(MONTH(E385),"January","February","March","April","May","June","July","August","September","October","November","December")</f>
        <v>June</v>
      </c>
      <c r="G385" s="125">
        <f ca="1">DATEDIF(E385,TODAY(),"Y")</f>
        <v>21</v>
      </c>
      <c r="H385" s="125" t="s">
        <v>276</v>
      </c>
      <c r="I385" s="220">
        <v>66920</v>
      </c>
      <c r="J385" s="219">
        <v>2</v>
      </c>
    </row>
    <row r="386" spans="1:10" x14ac:dyDescent="0.25">
      <c r="A386" s="222" t="s">
        <v>727</v>
      </c>
      <c r="B386" s="125" t="s">
        <v>271</v>
      </c>
      <c r="C386" s="125" t="s">
        <v>626</v>
      </c>
      <c r="D386" s="125" t="s">
        <v>256</v>
      </c>
      <c r="E386" s="221">
        <v>40209</v>
      </c>
      <c r="F386" s="125" t="str">
        <f>CHOOSE(MONTH(E386),"January","February","March","April","May","June","July","August","September","October","November","December")</f>
        <v>January</v>
      </c>
      <c r="G386" s="125">
        <f ca="1">DATEDIF(E386,TODAY(),"Y")</f>
        <v>6</v>
      </c>
      <c r="H386" s="125" t="s">
        <v>283</v>
      </c>
      <c r="I386" s="220">
        <v>45260</v>
      </c>
      <c r="J386" s="219">
        <v>4</v>
      </c>
    </row>
    <row r="387" spans="1:10" x14ac:dyDescent="0.25">
      <c r="A387" s="222" t="s">
        <v>1009</v>
      </c>
      <c r="B387" s="125" t="s">
        <v>285</v>
      </c>
      <c r="C387" s="125" t="s">
        <v>626</v>
      </c>
      <c r="D387" s="125" t="s">
        <v>256</v>
      </c>
      <c r="E387" s="221">
        <v>34177</v>
      </c>
      <c r="F387" s="125" t="str">
        <f>CHOOSE(MONTH(E387),"January","February","March","April","May","June","July","August","September","October","November","December")</f>
        <v>July</v>
      </c>
      <c r="G387" s="125">
        <f ca="1">DATEDIF(E387,TODAY(),"Y")</f>
        <v>23</v>
      </c>
      <c r="H387" s="125" t="s">
        <v>283</v>
      </c>
      <c r="I387" s="220">
        <v>65250</v>
      </c>
      <c r="J387" s="219">
        <v>2</v>
      </c>
    </row>
    <row r="388" spans="1:10" x14ac:dyDescent="0.25">
      <c r="A388" s="222" t="s">
        <v>807</v>
      </c>
      <c r="B388" s="125" t="s">
        <v>285</v>
      </c>
      <c r="C388" s="125" t="s">
        <v>626</v>
      </c>
      <c r="D388" s="125" t="s">
        <v>247</v>
      </c>
      <c r="E388" s="221">
        <v>35682</v>
      </c>
      <c r="F388" s="125" t="str">
        <f>CHOOSE(MONTH(E388),"January","February","March","April","May","June","July","August","September","October","November","December")</f>
        <v>September</v>
      </c>
      <c r="G388" s="125">
        <f ca="1">DATEDIF(E388,TODAY(),"Y")</f>
        <v>19</v>
      </c>
      <c r="I388" s="220">
        <v>63850</v>
      </c>
      <c r="J388" s="219">
        <v>2</v>
      </c>
    </row>
    <row r="389" spans="1:10" x14ac:dyDescent="0.25">
      <c r="A389" s="222" t="s">
        <v>503</v>
      </c>
      <c r="B389" s="125" t="s">
        <v>245</v>
      </c>
      <c r="C389" s="125" t="s">
        <v>626</v>
      </c>
      <c r="D389" s="125" t="s">
        <v>261</v>
      </c>
      <c r="E389" s="221">
        <v>39098</v>
      </c>
      <c r="F389" s="125" t="str">
        <f>CHOOSE(MONTH(E389),"January","February","March","April","May","June","July","August","September","October","November","December")</f>
        <v>January</v>
      </c>
      <c r="G389" s="125">
        <f ca="1">DATEDIF(E389,TODAY(),"Y")</f>
        <v>9</v>
      </c>
      <c r="H389" s="125" t="s">
        <v>283</v>
      </c>
      <c r="I389" s="220">
        <v>47705</v>
      </c>
      <c r="J389" s="219">
        <v>5</v>
      </c>
    </row>
    <row r="390" spans="1:10" x14ac:dyDescent="0.25">
      <c r="A390" s="222" t="s">
        <v>518</v>
      </c>
      <c r="B390" s="125" t="s">
        <v>280</v>
      </c>
      <c r="C390" s="125" t="s">
        <v>626</v>
      </c>
      <c r="D390" s="125" t="s">
        <v>256</v>
      </c>
      <c r="E390" s="221">
        <v>33247</v>
      </c>
      <c r="F390" s="125" t="str">
        <f>CHOOSE(MONTH(E390),"January","February","March","April","May","June","July","August","September","October","November","December")</f>
        <v>January</v>
      </c>
      <c r="G390" s="125">
        <f ca="1">DATEDIF(E390,TODAY(),"Y")</f>
        <v>25</v>
      </c>
      <c r="H390" s="125" t="s">
        <v>257</v>
      </c>
      <c r="I390" s="220">
        <v>62740</v>
      </c>
      <c r="J390" s="219">
        <v>4</v>
      </c>
    </row>
    <row r="391" spans="1:10" x14ac:dyDescent="0.25">
      <c r="A391" s="222" t="s">
        <v>683</v>
      </c>
      <c r="B391" s="125" t="s">
        <v>285</v>
      </c>
      <c r="C391" s="125" t="s">
        <v>626</v>
      </c>
      <c r="D391" s="125" t="s">
        <v>261</v>
      </c>
      <c r="E391" s="221">
        <v>36094</v>
      </c>
      <c r="F391" s="125" t="str">
        <f>CHOOSE(MONTH(E391),"January","February","March","April","May","June","July","August","September","October","November","December")</f>
        <v>October</v>
      </c>
      <c r="G391" s="125">
        <f ca="1">DATEDIF(E391,TODAY(),"Y")</f>
        <v>18</v>
      </c>
      <c r="H391" s="125" t="s">
        <v>257</v>
      </c>
      <c r="I391" s="220">
        <v>47885</v>
      </c>
      <c r="J391" s="219">
        <v>1</v>
      </c>
    </row>
    <row r="392" spans="1:10" x14ac:dyDescent="0.25">
      <c r="A392" s="222" t="s">
        <v>915</v>
      </c>
      <c r="B392" s="125" t="s">
        <v>251</v>
      </c>
      <c r="C392" s="125" t="s">
        <v>626</v>
      </c>
      <c r="D392" s="125" t="s">
        <v>247</v>
      </c>
      <c r="E392" s="221">
        <v>36199</v>
      </c>
      <c r="F392" s="125" t="str">
        <f>CHOOSE(MONTH(E392),"January","February","March","April","May","June","July","August","September","October","November","December")</f>
        <v>February</v>
      </c>
      <c r="G392" s="125">
        <f ca="1">DATEDIF(E392,TODAY(),"Y")</f>
        <v>17</v>
      </c>
      <c r="I392" s="220">
        <v>31270</v>
      </c>
      <c r="J392" s="219">
        <v>5</v>
      </c>
    </row>
    <row r="393" spans="1:10" x14ac:dyDescent="0.25">
      <c r="A393" s="222" t="s">
        <v>926</v>
      </c>
      <c r="B393" s="125" t="s">
        <v>285</v>
      </c>
      <c r="C393" s="125" t="s">
        <v>626</v>
      </c>
      <c r="D393" s="125" t="s">
        <v>256</v>
      </c>
      <c r="E393" s="221">
        <v>33695</v>
      </c>
      <c r="F393" s="125" t="str">
        <f>CHOOSE(MONTH(E393),"January","February","March","April","May","June","July","August","September","October","November","December")</f>
        <v>April</v>
      </c>
      <c r="G393" s="125">
        <f ca="1">DATEDIF(E393,TODAY(),"Y")</f>
        <v>24</v>
      </c>
      <c r="H393" s="125" t="s">
        <v>262</v>
      </c>
      <c r="I393" s="220">
        <v>60560</v>
      </c>
      <c r="J393" s="219">
        <v>4</v>
      </c>
    </row>
    <row r="394" spans="1:10" x14ac:dyDescent="0.25">
      <c r="A394" s="222" t="s">
        <v>392</v>
      </c>
      <c r="B394" s="125" t="s">
        <v>245</v>
      </c>
      <c r="C394" s="125" t="s">
        <v>626</v>
      </c>
      <c r="D394" s="125" t="s">
        <v>256</v>
      </c>
      <c r="E394" s="221">
        <v>39157</v>
      </c>
      <c r="F394" s="125" t="str">
        <f>CHOOSE(MONTH(E394),"January","February","March","April","May","June","July","August","September","October","November","December")</f>
        <v>March</v>
      </c>
      <c r="G394" s="125">
        <f ca="1">DATEDIF(E394,TODAY(),"Y")</f>
        <v>9</v>
      </c>
      <c r="H394" s="125" t="s">
        <v>283</v>
      </c>
      <c r="I394" s="220">
        <v>47610</v>
      </c>
      <c r="J394" s="219">
        <v>4</v>
      </c>
    </row>
    <row r="395" spans="1:10" x14ac:dyDescent="0.25">
      <c r="A395" s="222" t="s">
        <v>823</v>
      </c>
      <c r="B395" s="125" t="s">
        <v>251</v>
      </c>
      <c r="C395" s="125" t="s">
        <v>626</v>
      </c>
      <c r="D395" s="125" t="s">
        <v>256</v>
      </c>
      <c r="E395" s="221">
        <v>35282</v>
      </c>
      <c r="F395" s="125" t="str">
        <f>CHOOSE(MONTH(E395),"January","February","March","April","May","June","July","August","September","October","November","December")</f>
        <v>August</v>
      </c>
      <c r="G395" s="125">
        <f ca="1">DATEDIF(E395,TODAY(),"Y")</f>
        <v>20</v>
      </c>
      <c r="H395" s="125" t="s">
        <v>257</v>
      </c>
      <c r="I395" s="220">
        <v>57560</v>
      </c>
      <c r="J395" s="219">
        <v>4</v>
      </c>
    </row>
    <row r="396" spans="1:10" x14ac:dyDescent="0.25">
      <c r="A396" s="222" t="s">
        <v>468</v>
      </c>
      <c r="B396" s="125" t="s">
        <v>251</v>
      </c>
      <c r="C396" s="125" t="s">
        <v>626</v>
      </c>
      <c r="D396" s="125" t="s">
        <v>247</v>
      </c>
      <c r="E396" s="221">
        <v>38496</v>
      </c>
      <c r="F396" s="125" t="str">
        <f>CHOOSE(MONTH(E396),"January","February","March","April","May","June","July","August","September","October","November","December")</f>
        <v>May</v>
      </c>
      <c r="G396" s="125">
        <f ca="1">DATEDIF(E396,TODAY(),"Y")</f>
        <v>11</v>
      </c>
      <c r="I396" s="220">
        <v>57520</v>
      </c>
      <c r="J396" s="219">
        <v>3</v>
      </c>
    </row>
    <row r="397" spans="1:10" x14ac:dyDescent="0.25">
      <c r="A397" s="222" t="s">
        <v>656</v>
      </c>
      <c r="B397" s="125" t="s">
        <v>285</v>
      </c>
      <c r="C397" s="125" t="s">
        <v>626</v>
      </c>
      <c r="D397" s="125" t="s">
        <v>247</v>
      </c>
      <c r="E397" s="221">
        <v>36703</v>
      </c>
      <c r="F397" s="125" t="str">
        <f>CHOOSE(MONTH(E397),"January","February","March","April","May","June","July","August","September","October","November","December")</f>
        <v>June</v>
      </c>
      <c r="G397" s="125">
        <f ca="1">DATEDIF(E397,TODAY(),"Y")</f>
        <v>16</v>
      </c>
      <c r="I397" s="220">
        <v>50200</v>
      </c>
      <c r="J397" s="219">
        <v>4</v>
      </c>
    </row>
    <row r="398" spans="1:10" x14ac:dyDescent="0.25">
      <c r="A398" s="222" t="s">
        <v>594</v>
      </c>
      <c r="B398" s="125" t="s">
        <v>245</v>
      </c>
      <c r="C398" s="125" t="s">
        <v>626</v>
      </c>
      <c r="D398" s="125" t="s">
        <v>261</v>
      </c>
      <c r="E398" s="221">
        <v>39871</v>
      </c>
      <c r="F398" s="125" t="str">
        <f>CHOOSE(MONTH(E398),"January","February","March","April","May","June","July","August","September","October","November","December")</f>
        <v>February</v>
      </c>
      <c r="G398" s="125">
        <f ca="1">DATEDIF(E398,TODAY(),"Y")</f>
        <v>7</v>
      </c>
      <c r="H398" s="125" t="s">
        <v>267</v>
      </c>
      <c r="I398" s="220">
        <v>38575</v>
      </c>
      <c r="J398" s="219">
        <v>2</v>
      </c>
    </row>
    <row r="399" spans="1:10" x14ac:dyDescent="0.25">
      <c r="A399" s="222" t="s">
        <v>555</v>
      </c>
      <c r="B399" s="125" t="s">
        <v>280</v>
      </c>
      <c r="C399" s="125" t="s">
        <v>626</v>
      </c>
      <c r="D399" s="125" t="s">
        <v>261</v>
      </c>
      <c r="E399" s="221">
        <v>37141</v>
      </c>
      <c r="F399" s="125" t="str">
        <f>CHOOSE(MONTH(E399),"January","February","March","April","May","June","July","August","September","October","November","December")</f>
        <v>September</v>
      </c>
      <c r="G399" s="125">
        <f ca="1">DATEDIF(E399,TODAY(),"Y")</f>
        <v>15</v>
      </c>
      <c r="H399" s="125" t="s">
        <v>276</v>
      </c>
      <c r="I399" s="220">
        <v>15910</v>
      </c>
      <c r="J399" s="219">
        <v>3</v>
      </c>
    </row>
    <row r="400" spans="1:10" x14ac:dyDescent="0.25">
      <c r="A400" s="222" t="s">
        <v>485</v>
      </c>
      <c r="B400" s="125" t="s">
        <v>245</v>
      </c>
      <c r="C400" s="125" t="s">
        <v>626</v>
      </c>
      <c r="D400" s="125" t="s">
        <v>261</v>
      </c>
      <c r="E400" s="221">
        <v>37138</v>
      </c>
      <c r="F400" s="125" t="str">
        <f>CHOOSE(MONTH(E400),"January","February","March","April","May","June","July","August","September","October","November","December")</f>
        <v>September</v>
      </c>
      <c r="G400" s="125">
        <f ca="1">DATEDIF(E400,TODAY(),"Y")</f>
        <v>15</v>
      </c>
      <c r="H400" s="125" t="s">
        <v>262</v>
      </c>
      <c r="I400" s="220">
        <v>31110</v>
      </c>
      <c r="J400" s="219">
        <v>1</v>
      </c>
    </row>
    <row r="401" spans="1:10" x14ac:dyDescent="0.25">
      <c r="A401" s="222" t="s">
        <v>629</v>
      </c>
      <c r="B401" s="125" t="s">
        <v>285</v>
      </c>
      <c r="C401" s="125" t="s">
        <v>626</v>
      </c>
      <c r="D401" s="125" t="s">
        <v>256</v>
      </c>
      <c r="E401" s="221">
        <v>36463</v>
      </c>
      <c r="F401" s="125" t="str">
        <f>CHOOSE(MONTH(E401),"January","February","March","April","May","June","July","August","September","October","November","December")</f>
        <v>October</v>
      </c>
      <c r="G401" s="125">
        <f ca="1">DATEDIF(E401,TODAY(),"Y")</f>
        <v>17</v>
      </c>
      <c r="H401" s="125" t="s">
        <v>257</v>
      </c>
      <c r="I401" s="220">
        <v>44220</v>
      </c>
      <c r="J401" s="219">
        <v>3</v>
      </c>
    </row>
    <row r="402" spans="1:10" x14ac:dyDescent="0.25">
      <c r="A402" s="222" t="s">
        <v>672</v>
      </c>
      <c r="B402" s="125" t="s">
        <v>266</v>
      </c>
      <c r="C402" s="125" t="s">
        <v>626</v>
      </c>
      <c r="D402" s="125" t="s">
        <v>247</v>
      </c>
      <c r="E402" s="221">
        <v>35518</v>
      </c>
      <c r="F402" s="125" t="str">
        <f>CHOOSE(MONTH(E402),"January","February","March","April","May","June","July","August","September","October","November","December")</f>
        <v>March</v>
      </c>
      <c r="G402" s="125">
        <f ca="1">DATEDIF(E402,TODAY(),"Y")</f>
        <v>19</v>
      </c>
      <c r="I402" s="220">
        <v>53870</v>
      </c>
      <c r="J402" s="219">
        <v>2</v>
      </c>
    </row>
    <row r="403" spans="1:10" x14ac:dyDescent="0.25">
      <c r="A403" s="222" t="s">
        <v>382</v>
      </c>
      <c r="B403" s="125" t="s">
        <v>271</v>
      </c>
      <c r="C403" s="125" t="s">
        <v>626</v>
      </c>
      <c r="D403" s="125" t="s">
        <v>261</v>
      </c>
      <c r="E403" s="221">
        <v>40351</v>
      </c>
      <c r="F403" s="125" t="str">
        <f>CHOOSE(MONTH(E403),"January","February","March","April","May","June","July","August","September","October","November","December")</f>
        <v>June</v>
      </c>
      <c r="G403" s="125">
        <f ca="1">DATEDIF(E403,TODAY(),"Y")</f>
        <v>6</v>
      </c>
      <c r="H403" s="125" t="s">
        <v>283</v>
      </c>
      <c r="I403" s="220">
        <v>20040</v>
      </c>
      <c r="J403" s="219">
        <v>3</v>
      </c>
    </row>
    <row r="404" spans="1:10" x14ac:dyDescent="0.25">
      <c r="A404" s="222" t="s">
        <v>723</v>
      </c>
      <c r="B404" s="125" t="s">
        <v>245</v>
      </c>
      <c r="C404" s="125" t="s">
        <v>626</v>
      </c>
      <c r="D404" s="125" t="s">
        <v>256</v>
      </c>
      <c r="E404" s="221">
        <v>36662</v>
      </c>
      <c r="F404" s="125" t="str">
        <f>CHOOSE(MONTH(E404),"January","February","March","April","May","June","July","August","September","October","November","December")</f>
        <v>May</v>
      </c>
      <c r="G404" s="125">
        <f ca="1">DATEDIF(E404,TODAY(),"Y")</f>
        <v>16</v>
      </c>
      <c r="H404" s="125" t="s">
        <v>283</v>
      </c>
      <c r="I404" s="220">
        <v>52490</v>
      </c>
      <c r="J404" s="219">
        <v>4</v>
      </c>
    </row>
    <row r="405" spans="1:10" x14ac:dyDescent="0.25">
      <c r="A405" s="222" t="s">
        <v>649</v>
      </c>
      <c r="B405" s="125" t="s">
        <v>271</v>
      </c>
      <c r="C405" s="125" t="s">
        <v>626</v>
      </c>
      <c r="D405" s="125" t="s">
        <v>256</v>
      </c>
      <c r="E405" s="221">
        <v>36456</v>
      </c>
      <c r="F405" s="125" t="str">
        <f>CHOOSE(MONTH(E405),"January","February","March","April","May","June","July","August","September","October","November","December")</f>
        <v>October</v>
      </c>
      <c r="G405" s="125">
        <f ca="1">DATEDIF(E405,TODAY(),"Y")</f>
        <v>17</v>
      </c>
      <c r="H405" s="125" t="s">
        <v>283</v>
      </c>
      <c r="I405" s="220">
        <v>43460</v>
      </c>
      <c r="J405" s="219">
        <v>5</v>
      </c>
    </row>
    <row r="406" spans="1:10" x14ac:dyDescent="0.25">
      <c r="A406" s="222" t="s">
        <v>801</v>
      </c>
      <c r="B406" s="125" t="s">
        <v>251</v>
      </c>
      <c r="C406" s="125" t="s">
        <v>626</v>
      </c>
      <c r="D406" s="125" t="s">
        <v>256</v>
      </c>
      <c r="E406" s="221">
        <v>36392</v>
      </c>
      <c r="F406" s="125" t="str">
        <f>CHOOSE(MONTH(E406),"January","February","March","April","May","June","July","August","September","October","November","December")</f>
        <v>August</v>
      </c>
      <c r="G406" s="125">
        <f ca="1">DATEDIF(E406,TODAY(),"Y")</f>
        <v>17</v>
      </c>
      <c r="H406" s="125" t="s">
        <v>283</v>
      </c>
      <c r="I406" s="220">
        <v>51410</v>
      </c>
      <c r="J406" s="219">
        <v>4</v>
      </c>
    </row>
    <row r="407" spans="1:10" x14ac:dyDescent="0.25">
      <c r="A407" s="223" t="s">
        <v>678</v>
      </c>
    </row>
    <row r="408" spans="1:10" x14ac:dyDescent="0.25">
      <c r="A408" s="222" t="s">
        <v>922</v>
      </c>
      <c r="B408" s="125" t="s">
        <v>285</v>
      </c>
      <c r="C408" s="125" t="s">
        <v>678</v>
      </c>
      <c r="D408" s="125" t="s">
        <v>256</v>
      </c>
      <c r="E408" s="221">
        <v>33904</v>
      </c>
      <c r="F408" s="125" t="str">
        <f>CHOOSE(MONTH(E408),"January","February","March","April","May","June","July","August","September","October","November","December")</f>
        <v>October</v>
      </c>
      <c r="G408" s="125">
        <f ca="1">DATEDIF(E408,TODAY(),"Y")</f>
        <v>24</v>
      </c>
      <c r="H408" s="125" t="s">
        <v>262</v>
      </c>
      <c r="I408" s="220">
        <v>87980</v>
      </c>
      <c r="J408" s="219">
        <v>1</v>
      </c>
    </row>
    <row r="409" spans="1:10" x14ac:dyDescent="0.25">
      <c r="A409" s="222" t="s">
        <v>644</v>
      </c>
      <c r="B409" s="125" t="s">
        <v>280</v>
      </c>
      <c r="C409" s="125" t="s">
        <v>678</v>
      </c>
      <c r="D409" s="125" t="s">
        <v>256</v>
      </c>
      <c r="E409" s="221">
        <v>33617</v>
      </c>
      <c r="F409" s="125" t="str">
        <f>CHOOSE(MONTH(E409),"January","February","March","April","May","June","July","August","September","October","November","December")</f>
        <v>January</v>
      </c>
      <c r="G409" s="125">
        <f ca="1">DATEDIF(E409,TODAY(),"Y")</f>
        <v>24</v>
      </c>
      <c r="H409" s="125" t="s">
        <v>257</v>
      </c>
      <c r="I409" s="220">
        <v>39110</v>
      </c>
      <c r="J409" s="219">
        <v>5</v>
      </c>
    </row>
    <row r="410" spans="1:10" x14ac:dyDescent="0.25">
      <c r="A410" s="222" t="s">
        <v>441</v>
      </c>
      <c r="B410" s="125" t="s">
        <v>251</v>
      </c>
      <c r="C410" s="125" t="s">
        <v>678</v>
      </c>
      <c r="D410" s="125" t="s">
        <v>247</v>
      </c>
      <c r="E410" s="221">
        <v>35724</v>
      </c>
      <c r="F410" s="125" t="str">
        <f>CHOOSE(MONTH(E410),"January","February","March","April","May","June","July","August","September","October","November","December")</f>
        <v>October</v>
      </c>
      <c r="G410" s="125">
        <f ca="1">DATEDIF(E410,TODAY(),"Y")</f>
        <v>19</v>
      </c>
      <c r="I410" s="220">
        <v>86470</v>
      </c>
      <c r="J410" s="219">
        <v>4</v>
      </c>
    </row>
    <row r="411" spans="1:10" x14ac:dyDescent="0.25">
      <c r="A411" s="222" t="s">
        <v>542</v>
      </c>
      <c r="B411" s="125" t="s">
        <v>271</v>
      </c>
      <c r="C411" s="125" t="s">
        <v>678</v>
      </c>
      <c r="D411" s="125" t="s">
        <v>256</v>
      </c>
      <c r="E411" s="221">
        <v>36175</v>
      </c>
      <c r="F411" s="125" t="str">
        <f>CHOOSE(MONTH(E411),"January","February","March","April","May","June","July","August","September","October","November","December")</f>
        <v>January</v>
      </c>
      <c r="G411" s="125">
        <f ca="1">DATEDIF(E411,TODAY(),"Y")</f>
        <v>17</v>
      </c>
      <c r="H411" s="125" t="s">
        <v>283</v>
      </c>
      <c r="I411" s="220">
        <v>23520</v>
      </c>
      <c r="J411" s="219">
        <v>2</v>
      </c>
    </row>
    <row r="412" spans="1:10" x14ac:dyDescent="0.25">
      <c r="A412" s="222" t="s">
        <v>337</v>
      </c>
      <c r="B412" s="125" t="s">
        <v>280</v>
      </c>
      <c r="C412" s="125" t="s">
        <v>678</v>
      </c>
      <c r="D412" s="125" t="s">
        <v>261</v>
      </c>
      <c r="E412" s="221">
        <v>35150</v>
      </c>
      <c r="F412" s="125" t="str">
        <f>CHOOSE(MONTH(E412),"January","February","March","April","May","June","July","August","September","October","November","December")</f>
        <v>March</v>
      </c>
      <c r="G412" s="125">
        <f ca="1">DATEDIF(E412,TODAY(),"Y")</f>
        <v>20</v>
      </c>
      <c r="H412" s="125" t="s">
        <v>257</v>
      </c>
      <c r="I412" s="220">
        <v>49405</v>
      </c>
      <c r="J412" s="219">
        <v>4</v>
      </c>
    </row>
    <row r="413" spans="1:10" x14ac:dyDescent="0.25">
      <c r="A413" s="222" t="s">
        <v>720</v>
      </c>
      <c r="B413" s="125" t="s">
        <v>285</v>
      </c>
      <c r="C413" s="125" t="s">
        <v>678</v>
      </c>
      <c r="D413" s="125" t="s">
        <v>256</v>
      </c>
      <c r="E413" s="221">
        <v>35121</v>
      </c>
      <c r="F413" s="125" t="str">
        <f>CHOOSE(MONTH(E413),"January","February","March","April","May","June","July","August","September","October","November","December")</f>
        <v>February</v>
      </c>
      <c r="G413" s="125">
        <f ca="1">DATEDIF(E413,TODAY(),"Y")</f>
        <v>20</v>
      </c>
      <c r="H413" s="125" t="s">
        <v>283</v>
      </c>
      <c r="I413" s="220">
        <v>22860</v>
      </c>
      <c r="J413" s="219">
        <v>5</v>
      </c>
    </row>
    <row r="414" spans="1:10" x14ac:dyDescent="0.25">
      <c r="A414" s="222" t="s">
        <v>300</v>
      </c>
      <c r="B414" s="125" t="s">
        <v>285</v>
      </c>
      <c r="C414" s="125" t="s">
        <v>678</v>
      </c>
      <c r="D414" s="125" t="s">
        <v>247</v>
      </c>
      <c r="E414" s="221">
        <v>37803</v>
      </c>
      <c r="F414" s="125" t="str">
        <f>CHOOSE(MONTH(E414),"January","February","March","April","May","June","July","August","September","October","November","December")</f>
        <v>July</v>
      </c>
      <c r="G414" s="125">
        <f ca="1">DATEDIF(E414,TODAY(),"Y")</f>
        <v>13</v>
      </c>
      <c r="I414" s="220">
        <v>78100</v>
      </c>
      <c r="J414" s="219">
        <v>3</v>
      </c>
    </row>
    <row r="415" spans="1:10" x14ac:dyDescent="0.25">
      <c r="A415" s="222" t="s">
        <v>622</v>
      </c>
      <c r="B415" s="125" t="s">
        <v>271</v>
      </c>
      <c r="C415" s="125" t="s">
        <v>678</v>
      </c>
      <c r="D415" s="125" t="s">
        <v>247</v>
      </c>
      <c r="E415" s="221">
        <v>40372</v>
      </c>
      <c r="F415" s="125" t="str">
        <f>CHOOSE(MONTH(E415),"January","February","March","April","May","June","July","August","September","October","November","December")</f>
        <v>July</v>
      </c>
      <c r="G415" s="125">
        <f ca="1">DATEDIF(E415,TODAY(),"Y")</f>
        <v>6</v>
      </c>
      <c r="I415" s="220">
        <v>75100</v>
      </c>
      <c r="J415" s="219">
        <v>4</v>
      </c>
    </row>
    <row r="416" spans="1:10" x14ac:dyDescent="0.25">
      <c r="A416" s="222" t="s">
        <v>326</v>
      </c>
      <c r="B416" s="125" t="s">
        <v>251</v>
      </c>
      <c r="C416" s="125" t="s">
        <v>678</v>
      </c>
      <c r="D416" s="125" t="s">
        <v>247</v>
      </c>
      <c r="E416" s="221">
        <v>40333</v>
      </c>
      <c r="F416" s="125" t="str">
        <f>CHOOSE(MONTH(E416),"January","February","March","April","May","June","July","August","September","October","November","December")</f>
        <v>June</v>
      </c>
      <c r="G416" s="125">
        <f ca="1">DATEDIF(E416,TODAY(),"Y")</f>
        <v>6</v>
      </c>
      <c r="I416" s="220">
        <v>74020</v>
      </c>
      <c r="J416" s="219">
        <v>2</v>
      </c>
    </row>
    <row r="417" spans="1:10" x14ac:dyDescent="0.25">
      <c r="A417" s="222" t="s">
        <v>353</v>
      </c>
      <c r="B417" s="125" t="s">
        <v>271</v>
      </c>
      <c r="C417" s="125" t="s">
        <v>678</v>
      </c>
      <c r="D417" s="125" t="s">
        <v>261</v>
      </c>
      <c r="E417" s="221">
        <v>35961</v>
      </c>
      <c r="F417" s="125" t="str">
        <f>CHOOSE(MONTH(E417),"January","February","March","April","May","June","July","August","September","October","November","December")</f>
        <v>June</v>
      </c>
      <c r="G417" s="125">
        <f ca="1">DATEDIF(E417,TODAY(),"Y")</f>
        <v>18</v>
      </c>
      <c r="H417" s="125" t="s">
        <v>257</v>
      </c>
      <c r="I417" s="220">
        <v>20500</v>
      </c>
      <c r="J417" s="219">
        <v>3</v>
      </c>
    </row>
    <row r="418" spans="1:10" x14ac:dyDescent="0.25">
      <c r="A418" s="222" t="s">
        <v>409</v>
      </c>
      <c r="B418" s="125" t="s">
        <v>280</v>
      </c>
      <c r="C418" s="125" t="s">
        <v>678</v>
      </c>
      <c r="D418" s="125" t="s">
        <v>256</v>
      </c>
      <c r="E418" s="221">
        <v>36567</v>
      </c>
      <c r="F418" s="125" t="str">
        <f>CHOOSE(MONTH(E418),"January","February","March","April","May","June","July","August","September","October","November","December")</f>
        <v>February</v>
      </c>
      <c r="G418" s="125">
        <f ca="1">DATEDIF(E418,TODAY(),"Y")</f>
        <v>16</v>
      </c>
      <c r="H418" s="125" t="s">
        <v>276</v>
      </c>
      <c r="I418" s="220">
        <v>45450</v>
      </c>
      <c r="J418" s="219">
        <v>5</v>
      </c>
    </row>
    <row r="419" spans="1:10" x14ac:dyDescent="0.25">
      <c r="A419" s="222" t="s">
        <v>814</v>
      </c>
      <c r="B419" s="125" t="s">
        <v>245</v>
      </c>
      <c r="C419" s="125" t="s">
        <v>678</v>
      </c>
      <c r="D419" s="125" t="s">
        <v>247</v>
      </c>
      <c r="E419" s="221">
        <v>36047</v>
      </c>
      <c r="F419" s="125" t="str">
        <f>CHOOSE(MONTH(E419),"January","February","March","April","May","June","July","August","September","October","November","December")</f>
        <v>September</v>
      </c>
      <c r="G419" s="125">
        <f ca="1">DATEDIF(E419,TODAY(),"Y")</f>
        <v>18</v>
      </c>
      <c r="I419" s="220">
        <v>72480</v>
      </c>
      <c r="J419" s="219">
        <v>2</v>
      </c>
    </row>
    <row r="420" spans="1:10" x14ac:dyDescent="0.25">
      <c r="A420" s="222" t="s">
        <v>551</v>
      </c>
      <c r="B420" s="125" t="s">
        <v>271</v>
      </c>
      <c r="C420" s="125" t="s">
        <v>678</v>
      </c>
      <c r="D420" s="125" t="s">
        <v>256</v>
      </c>
      <c r="E420" s="221">
        <v>36898</v>
      </c>
      <c r="F420" s="125" t="str">
        <f>CHOOSE(MONTH(E420),"January","February","March","April","May","June","July","August","September","October","November","December")</f>
        <v>January</v>
      </c>
      <c r="G420" s="125">
        <f ca="1">DATEDIF(E420,TODAY(),"Y")</f>
        <v>15</v>
      </c>
      <c r="H420" s="125" t="s">
        <v>257</v>
      </c>
      <c r="I420" s="220">
        <v>71820</v>
      </c>
      <c r="J420" s="219">
        <v>2</v>
      </c>
    </row>
    <row r="421" spans="1:10" x14ac:dyDescent="0.25">
      <c r="A421" s="222" t="s">
        <v>473</v>
      </c>
      <c r="B421" s="125" t="s">
        <v>266</v>
      </c>
      <c r="C421" s="125" t="s">
        <v>678</v>
      </c>
      <c r="D421" s="125" t="s">
        <v>256</v>
      </c>
      <c r="E421" s="221">
        <v>36466</v>
      </c>
      <c r="F421" s="125" t="str">
        <f>CHOOSE(MONTH(E421),"January","February","March","April","May","June","July","August","September","October","November","December")</f>
        <v>November</v>
      </c>
      <c r="G421" s="125">
        <f ca="1">DATEDIF(E421,TODAY(),"Y")</f>
        <v>17</v>
      </c>
      <c r="H421" s="125" t="s">
        <v>283</v>
      </c>
      <c r="I421" s="220">
        <v>68410</v>
      </c>
      <c r="J421" s="219">
        <v>5</v>
      </c>
    </row>
    <row r="422" spans="1:10" x14ac:dyDescent="0.25">
      <c r="A422" s="222" t="s">
        <v>637</v>
      </c>
      <c r="B422" s="125" t="s">
        <v>271</v>
      </c>
      <c r="C422" s="125" t="s">
        <v>678</v>
      </c>
      <c r="D422" s="125" t="s">
        <v>252</v>
      </c>
      <c r="E422" s="221">
        <v>35381</v>
      </c>
      <c r="F422" s="125" t="str">
        <f>CHOOSE(MONTH(E422),"January","February","March","April","May","June","July","August","September","October","November","December")</f>
        <v>November</v>
      </c>
      <c r="G422" s="125">
        <f ca="1">DATEDIF(E422,TODAY(),"Y")</f>
        <v>19</v>
      </c>
      <c r="I422" s="220">
        <v>35312</v>
      </c>
      <c r="J422" s="219">
        <v>3</v>
      </c>
    </row>
    <row r="423" spans="1:10" x14ac:dyDescent="0.25">
      <c r="A423" s="222" t="s">
        <v>909</v>
      </c>
      <c r="B423" s="125" t="s">
        <v>280</v>
      </c>
      <c r="C423" s="125" t="s">
        <v>678</v>
      </c>
      <c r="D423" s="125" t="s">
        <v>256</v>
      </c>
      <c r="E423" s="221">
        <v>40533</v>
      </c>
      <c r="F423" s="125" t="str">
        <f>CHOOSE(MONTH(E423),"January","February","March","April","May","June","July","August","September","October","November","December")</f>
        <v>December</v>
      </c>
      <c r="G423" s="125">
        <f ca="1">DATEDIF(E423,TODAY(),"Y")</f>
        <v>5</v>
      </c>
      <c r="H423" s="125" t="s">
        <v>276</v>
      </c>
      <c r="I423" s="220">
        <v>62180</v>
      </c>
      <c r="J423" s="219">
        <v>2</v>
      </c>
    </row>
    <row r="424" spans="1:10" x14ac:dyDescent="0.25">
      <c r="A424" s="222" t="s">
        <v>728</v>
      </c>
      <c r="B424" s="125" t="s">
        <v>245</v>
      </c>
      <c r="C424" s="125" t="s">
        <v>678</v>
      </c>
      <c r="D424" s="125" t="s">
        <v>247</v>
      </c>
      <c r="E424" s="221">
        <v>37236</v>
      </c>
      <c r="F424" s="125" t="str">
        <f>CHOOSE(MONTH(E424),"January","February","March","April","May","June","July","August","September","October","November","December")</f>
        <v>December</v>
      </c>
      <c r="G424" s="125">
        <f ca="1">DATEDIF(E424,TODAY(),"Y")</f>
        <v>14</v>
      </c>
      <c r="I424" s="220">
        <v>29540</v>
      </c>
      <c r="J424" s="219">
        <v>3</v>
      </c>
    </row>
    <row r="425" spans="1:10" x14ac:dyDescent="0.25">
      <c r="A425" s="222" t="s">
        <v>967</v>
      </c>
      <c r="B425" s="125" t="s">
        <v>285</v>
      </c>
      <c r="C425" s="125" t="s">
        <v>678</v>
      </c>
      <c r="D425" s="125" t="s">
        <v>256</v>
      </c>
      <c r="E425" s="221">
        <v>33741</v>
      </c>
      <c r="F425" s="125" t="str">
        <f>CHOOSE(MONTH(E425),"January","February","March","April","May","June","July","August","September","October","November","December")</f>
        <v>May</v>
      </c>
      <c r="G425" s="125">
        <f ca="1">DATEDIF(E425,TODAY(),"Y")</f>
        <v>24</v>
      </c>
      <c r="H425" s="125" t="s">
        <v>257</v>
      </c>
      <c r="I425" s="220">
        <v>48550</v>
      </c>
      <c r="J425" s="219">
        <v>5</v>
      </c>
    </row>
    <row r="426" spans="1:10" x14ac:dyDescent="0.25">
      <c r="A426" s="222" t="s">
        <v>299</v>
      </c>
      <c r="B426" s="125" t="s">
        <v>271</v>
      </c>
      <c r="C426" s="125" t="s">
        <v>678</v>
      </c>
      <c r="D426" s="125" t="s">
        <v>252</v>
      </c>
      <c r="E426" s="221">
        <v>36084</v>
      </c>
      <c r="F426" s="125" t="str">
        <f>CHOOSE(MONTH(E426),"January","February","March","April","May","June","July","August","September","October","November","December")</f>
        <v>October</v>
      </c>
      <c r="G426" s="125">
        <f ca="1">DATEDIF(E426,TODAY(),"Y")</f>
        <v>18</v>
      </c>
      <c r="I426" s="220">
        <v>21668</v>
      </c>
      <c r="J426" s="219">
        <v>4</v>
      </c>
    </row>
    <row r="427" spans="1:10" x14ac:dyDescent="0.25">
      <c r="A427" s="222" t="s">
        <v>387</v>
      </c>
      <c r="B427" s="125" t="s">
        <v>266</v>
      </c>
      <c r="C427" s="125" t="s">
        <v>678</v>
      </c>
      <c r="D427" s="125" t="s">
        <v>252</v>
      </c>
      <c r="E427" s="221">
        <v>37827</v>
      </c>
      <c r="F427" s="125" t="str">
        <f>CHOOSE(MONTH(E427),"January","February","March","April","May","June","July","August","September","October","November","December")</f>
        <v>July</v>
      </c>
      <c r="G427" s="125">
        <f ca="1">DATEDIF(E427,TODAY(),"Y")</f>
        <v>13</v>
      </c>
      <c r="I427" s="220">
        <v>11044</v>
      </c>
      <c r="J427" s="219">
        <v>2</v>
      </c>
    </row>
    <row r="428" spans="1:10" x14ac:dyDescent="0.25">
      <c r="A428" s="222" t="s">
        <v>852</v>
      </c>
      <c r="B428" s="125" t="s">
        <v>285</v>
      </c>
      <c r="C428" s="125" t="s">
        <v>678</v>
      </c>
      <c r="D428" s="125" t="s">
        <v>247</v>
      </c>
      <c r="E428" s="221">
        <v>35447</v>
      </c>
      <c r="F428" s="125" t="str">
        <f>CHOOSE(MONTH(E428),"January","February","March","April","May","June","July","August","September","October","November","December")</f>
        <v>January</v>
      </c>
      <c r="G428" s="125">
        <f ca="1">DATEDIF(E428,TODAY(),"Y")</f>
        <v>19</v>
      </c>
      <c r="I428" s="220">
        <v>54190</v>
      </c>
      <c r="J428" s="219">
        <v>4</v>
      </c>
    </row>
    <row r="429" spans="1:10" x14ac:dyDescent="0.25">
      <c r="A429" s="223" t="s">
        <v>700</v>
      </c>
    </row>
    <row r="430" spans="1:10" x14ac:dyDescent="0.25">
      <c r="A430" s="222" t="s">
        <v>554</v>
      </c>
      <c r="B430" s="125" t="s">
        <v>245</v>
      </c>
      <c r="C430" s="125" t="s">
        <v>700</v>
      </c>
      <c r="D430" s="125" t="s">
        <v>247</v>
      </c>
      <c r="E430" s="221">
        <v>35451</v>
      </c>
      <c r="F430" s="125" t="str">
        <f>CHOOSE(MONTH(E430),"January","February","March","April","May","June","July","August","September","October","November","December")</f>
        <v>January</v>
      </c>
      <c r="G430" s="125">
        <f ca="1">DATEDIF(E430,TODAY(),"Y")</f>
        <v>19</v>
      </c>
      <c r="I430" s="220">
        <v>25120</v>
      </c>
      <c r="J430" s="219">
        <v>2</v>
      </c>
    </row>
    <row r="431" spans="1:10" x14ac:dyDescent="0.25">
      <c r="A431" s="222" t="s">
        <v>834</v>
      </c>
      <c r="B431" s="125" t="s">
        <v>271</v>
      </c>
      <c r="C431" s="125" t="s">
        <v>700</v>
      </c>
      <c r="D431" s="125" t="s">
        <v>247</v>
      </c>
      <c r="E431" s="221">
        <v>35567</v>
      </c>
      <c r="F431" s="125" t="str">
        <f>CHOOSE(MONTH(E431),"January","February","March","April","May","June","July","August","September","October","November","December")</f>
        <v>May</v>
      </c>
      <c r="G431" s="125">
        <f ca="1">DATEDIF(E431,TODAY(),"Y")</f>
        <v>19</v>
      </c>
      <c r="I431" s="220">
        <v>44820</v>
      </c>
      <c r="J431" s="219">
        <v>4</v>
      </c>
    </row>
    <row r="432" spans="1:10" x14ac:dyDescent="0.25">
      <c r="A432" s="222" t="s">
        <v>464</v>
      </c>
      <c r="B432" s="125" t="s">
        <v>245</v>
      </c>
      <c r="C432" s="125" t="s">
        <v>700</v>
      </c>
      <c r="D432" s="125" t="s">
        <v>247</v>
      </c>
      <c r="E432" s="221">
        <v>34408</v>
      </c>
      <c r="F432" s="125" t="str">
        <f>CHOOSE(MONTH(E432),"January","February","March","April","May","June","July","August","September","October","November","December")</f>
        <v>March</v>
      </c>
      <c r="G432" s="125">
        <f ca="1">DATEDIF(E432,TODAY(),"Y")</f>
        <v>22</v>
      </c>
      <c r="I432" s="220">
        <v>71700</v>
      </c>
      <c r="J432" s="219">
        <v>2</v>
      </c>
    </row>
    <row r="433" spans="1:10" x14ac:dyDescent="0.25">
      <c r="A433" s="222" t="s">
        <v>291</v>
      </c>
      <c r="B433" s="125" t="s">
        <v>285</v>
      </c>
      <c r="C433" s="125" t="s">
        <v>700</v>
      </c>
      <c r="D433" s="125" t="s">
        <v>256</v>
      </c>
      <c r="E433" s="221">
        <v>34814</v>
      </c>
      <c r="F433" s="125" t="str">
        <f>CHOOSE(MONTH(E433),"January","February","March","April","May","June","July","August","September","October","November","December")</f>
        <v>April</v>
      </c>
      <c r="G433" s="125">
        <f ca="1">DATEDIF(E433,TODAY(),"Y")</f>
        <v>21</v>
      </c>
      <c r="H433" s="125" t="s">
        <v>257</v>
      </c>
      <c r="I433" s="220">
        <v>63190</v>
      </c>
      <c r="J433" s="219">
        <v>1</v>
      </c>
    </row>
    <row r="434" spans="1:10" x14ac:dyDescent="0.25">
      <c r="A434" s="223" t="s">
        <v>705</v>
      </c>
    </row>
    <row r="435" spans="1:10" x14ac:dyDescent="0.25">
      <c r="A435" s="222" t="s">
        <v>451</v>
      </c>
      <c r="B435" s="125" t="s">
        <v>285</v>
      </c>
      <c r="C435" s="125" t="s">
        <v>705</v>
      </c>
      <c r="D435" s="125" t="s">
        <v>256</v>
      </c>
      <c r="E435" s="221">
        <v>39485</v>
      </c>
      <c r="F435" s="125" t="str">
        <f>CHOOSE(MONTH(E435),"January","February","March","April","May","June","July","August","September","October","November","December")</f>
        <v>February</v>
      </c>
      <c r="G435" s="125">
        <f ca="1">DATEDIF(E435,TODAY(),"Y")</f>
        <v>8</v>
      </c>
      <c r="H435" s="125" t="s">
        <v>257</v>
      </c>
      <c r="I435" s="220">
        <v>88850</v>
      </c>
      <c r="J435" s="219">
        <v>3</v>
      </c>
    </row>
    <row r="436" spans="1:10" x14ac:dyDescent="0.25">
      <c r="A436" s="222" t="s">
        <v>646</v>
      </c>
      <c r="B436" s="125" t="s">
        <v>280</v>
      </c>
      <c r="C436" s="125" t="s">
        <v>705</v>
      </c>
      <c r="D436" s="125" t="s">
        <v>256</v>
      </c>
      <c r="E436" s="221">
        <v>34702</v>
      </c>
      <c r="F436" s="125" t="str">
        <f>CHOOSE(MONTH(E436),"January","February","March","April","May","June","July","August","September","October","November","December")</f>
        <v>January</v>
      </c>
      <c r="G436" s="125">
        <f ca="1">DATEDIF(E436,TODAY(),"Y")</f>
        <v>21</v>
      </c>
      <c r="H436" s="125" t="s">
        <v>257</v>
      </c>
      <c r="I436" s="220">
        <v>87030</v>
      </c>
      <c r="J436" s="219">
        <v>3</v>
      </c>
    </row>
    <row r="437" spans="1:10" x14ac:dyDescent="0.25">
      <c r="A437" s="222" t="s">
        <v>888</v>
      </c>
      <c r="B437" s="125" t="s">
        <v>245</v>
      </c>
      <c r="C437" s="125" t="s">
        <v>705</v>
      </c>
      <c r="D437" s="125" t="s">
        <v>261</v>
      </c>
      <c r="E437" s="221">
        <v>37470</v>
      </c>
      <c r="F437" s="125" t="str">
        <f>CHOOSE(MONTH(E437),"January","February","March","April","May","June","July","August","September","October","November","December")</f>
        <v>August</v>
      </c>
      <c r="G437" s="125">
        <f ca="1">DATEDIF(E437,TODAY(),"Y")</f>
        <v>14</v>
      </c>
      <c r="H437" s="125" t="s">
        <v>257</v>
      </c>
      <c r="I437" s="220">
        <v>33810</v>
      </c>
      <c r="J437" s="219">
        <v>5</v>
      </c>
    </row>
    <row r="438" spans="1:10" x14ac:dyDescent="0.25">
      <c r="A438" s="222" t="s">
        <v>688</v>
      </c>
      <c r="B438" s="125" t="s">
        <v>271</v>
      </c>
      <c r="C438" s="125" t="s">
        <v>705</v>
      </c>
      <c r="D438" s="125" t="s">
        <v>256</v>
      </c>
      <c r="E438" s="221">
        <v>38227</v>
      </c>
      <c r="F438" s="125" t="str">
        <f>CHOOSE(MONTH(E438),"January","February","March","April","May","June","July","August","September","October","November","December")</f>
        <v>August</v>
      </c>
      <c r="G438" s="125">
        <f ca="1">DATEDIF(E438,TODAY(),"Y")</f>
        <v>12</v>
      </c>
      <c r="H438" s="125" t="s">
        <v>283</v>
      </c>
      <c r="I438" s="220">
        <v>86200</v>
      </c>
      <c r="J438" s="219">
        <v>3</v>
      </c>
    </row>
    <row r="439" spans="1:10" x14ac:dyDescent="0.25">
      <c r="A439" s="222" t="s">
        <v>928</v>
      </c>
      <c r="B439" s="125" t="s">
        <v>271</v>
      </c>
      <c r="C439" s="125" t="s">
        <v>705</v>
      </c>
      <c r="D439" s="125" t="s">
        <v>252</v>
      </c>
      <c r="E439" s="221">
        <v>36329</v>
      </c>
      <c r="F439" s="125" t="str">
        <f>CHOOSE(MONTH(E439),"January","February","March","April","May","June","July","August","September","October","November","December")</f>
        <v>June</v>
      </c>
      <c r="G439" s="125">
        <f ca="1">DATEDIF(E439,TODAY(),"Y")</f>
        <v>17</v>
      </c>
      <c r="I439" s="220">
        <v>39764</v>
      </c>
      <c r="J439" s="219">
        <v>1</v>
      </c>
    </row>
    <row r="440" spans="1:10" x14ac:dyDescent="0.25">
      <c r="A440" s="222" t="s">
        <v>874</v>
      </c>
      <c r="B440" s="125" t="s">
        <v>251</v>
      </c>
      <c r="C440" s="125" t="s">
        <v>705</v>
      </c>
      <c r="D440" s="125" t="s">
        <v>261</v>
      </c>
      <c r="E440" s="221">
        <v>39299</v>
      </c>
      <c r="F440" s="125" t="str">
        <f>CHOOSE(MONTH(E440),"January","February","March","April","May","June","July","August","September","October","November","December")</f>
        <v>August</v>
      </c>
      <c r="G440" s="125">
        <f ca="1">DATEDIF(E440,TODAY(),"Y")</f>
        <v>9</v>
      </c>
      <c r="H440" s="125" t="s">
        <v>276</v>
      </c>
      <c r="I440" s="220">
        <v>47760</v>
      </c>
      <c r="J440" s="219">
        <v>3</v>
      </c>
    </row>
    <row r="441" spans="1:10" x14ac:dyDescent="0.25">
      <c r="A441" s="222" t="s">
        <v>991</v>
      </c>
      <c r="B441" s="125" t="s">
        <v>251</v>
      </c>
      <c r="C441" s="125" t="s">
        <v>705</v>
      </c>
      <c r="D441" s="125" t="s">
        <v>247</v>
      </c>
      <c r="E441" s="221">
        <v>40620</v>
      </c>
      <c r="F441" s="125" t="str">
        <f>CHOOSE(MONTH(E441),"January","February","March","April","May","June","July","August","September","October","November","December")</f>
        <v>March</v>
      </c>
      <c r="G441" s="125">
        <f ca="1">DATEDIF(E441,TODAY(),"Y")</f>
        <v>5</v>
      </c>
      <c r="I441" s="220">
        <v>84300</v>
      </c>
      <c r="J441" s="219">
        <v>1</v>
      </c>
    </row>
    <row r="442" spans="1:10" x14ac:dyDescent="0.25">
      <c r="A442" s="222" t="s">
        <v>408</v>
      </c>
      <c r="B442" s="125" t="s">
        <v>271</v>
      </c>
      <c r="C442" s="125" t="s">
        <v>705</v>
      </c>
      <c r="D442" s="125" t="s">
        <v>252</v>
      </c>
      <c r="E442" s="221">
        <v>40452</v>
      </c>
      <c r="F442" s="125" t="str">
        <f>CHOOSE(MONTH(E442),"January","February","March","April","May","June","July","August","September","October","November","December")</f>
        <v>October</v>
      </c>
      <c r="G442" s="125">
        <f ca="1">DATEDIF(E442,TODAY(),"Y")</f>
        <v>6</v>
      </c>
      <c r="I442" s="220">
        <v>9180</v>
      </c>
      <c r="J442" s="219">
        <v>3</v>
      </c>
    </row>
    <row r="443" spans="1:10" x14ac:dyDescent="0.25">
      <c r="A443" s="222" t="s">
        <v>600</v>
      </c>
      <c r="B443" s="125" t="s">
        <v>245</v>
      </c>
      <c r="C443" s="125" t="s">
        <v>705</v>
      </c>
      <c r="D443" s="125" t="s">
        <v>256</v>
      </c>
      <c r="E443" s="221">
        <v>39657</v>
      </c>
      <c r="F443" s="125" t="str">
        <f>CHOOSE(MONTH(E443),"January","February","March","April","May","June","July","August","September","October","November","December")</f>
        <v>July</v>
      </c>
      <c r="G443" s="125">
        <f ca="1">DATEDIF(E443,TODAY(),"Y")</f>
        <v>8</v>
      </c>
      <c r="H443" s="125" t="s">
        <v>276</v>
      </c>
      <c r="I443" s="220">
        <v>80880</v>
      </c>
      <c r="J443" s="219">
        <v>1</v>
      </c>
    </row>
    <row r="444" spans="1:10" x14ac:dyDescent="0.25">
      <c r="A444" s="222" t="s">
        <v>947</v>
      </c>
      <c r="B444" s="125" t="s">
        <v>271</v>
      </c>
      <c r="C444" s="125" t="s">
        <v>705</v>
      </c>
      <c r="D444" s="125" t="s">
        <v>252</v>
      </c>
      <c r="E444" s="221">
        <v>37711</v>
      </c>
      <c r="F444" s="125" t="str">
        <f>CHOOSE(MONTH(E444),"January","February","March","April","May","June","July","August","September","October","November","December")</f>
        <v>March</v>
      </c>
      <c r="G444" s="125">
        <f ca="1">DATEDIF(E444,TODAY(),"Y")</f>
        <v>13</v>
      </c>
      <c r="I444" s="220">
        <v>21648</v>
      </c>
      <c r="J444" s="219">
        <v>2</v>
      </c>
    </row>
    <row r="445" spans="1:10" x14ac:dyDescent="0.25">
      <c r="A445" s="222" t="s">
        <v>535</v>
      </c>
      <c r="B445" s="125" t="s">
        <v>266</v>
      </c>
      <c r="C445" s="125" t="s">
        <v>705</v>
      </c>
      <c r="D445" s="125" t="s">
        <v>256</v>
      </c>
      <c r="E445" s="221">
        <v>39678</v>
      </c>
      <c r="F445" s="125" t="str">
        <f>CHOOSE(MONTH(E445),"January","February","March","April","May","June","July","August","September","October","November","December")</f>
        <v>August</v>
      </c>
      <c r="G445" s="125">
        <f ca="1">DATEDIF(E445,TODAY(),"Y")</f>
        <v>8</v>
      </c>
      <c r="H445" s="125" t="s">
        <v>283</v>
      </c>
      <c r="I445" s="220">
        <v>80090</v>
      </c>
      <c r="J445" s="219">
        <v>2</v>
      </c>
    </row>
    <row r="446" spans="1:10" x14ac:dyDescent="0.25">
      <c r="A446" s="222" t="s">
        <v>849</v>
      </c>
      <c r="B446" s="125" t="s">
        <v>285</v>
      </c>
      <c r="C446" s="125" t="s">
        <v>705</v>
      </c>
      <c r="D446" s="125" t="s">
        <v>256</v>
      </c>
      <c r="E446" s="221">
        <v>33642</v>
      </c>
      <c r="F446" s="125" t="str">
        <f>CHOOSE(MONTH(E446),"January","February","March","April","May","June","July","August","September","October","November","December")</f>
        <v>February</v>
      </c>
      <c r="G446" s="125">
        <f ca="1">DATEDIF(E446,TODAY(),"Y")</f>
        <v>24</v>
      </c>
      <c r="H446" s="125" t="s">
        <v>257</v>
      </c>
      <c r="I446" s="220">
        <v>79770</v>
      </c>
      <c r="J446" s="219">
        <v>4</v>
      </c>
    </row>
    <row r="447" spans="1:10" x14ac:dyDescent="0.25">
      <c r="A447" s="222" t="s">
        <v>365</v>
      </c>
      <c r="B447" s="125" t="s">
        <v>271</v>
      </c>
      <c r="C447" s="125" t="s">
        <v>705</v>
      </c>
      <c r="D447" s="125" t="s">
        <v>256</v>
      </c>
      <c r="E447" s="221">
        <v>33881</v>
      </c>
      <c r="F447" s="125" t="str">
        <f>CHOOSE(MONTH(E447),"January","February","March","April","May","June","July","August","September","October","November","December")</f>
        <v>October</v>
      </c>
      <c r="G447" s="125">
        <f ca="1">DATEDIF(E447,TODAY(),"Y")</f>
        <v>24</v>
      </c>
      <c r="H447" s="125" t="s">
        <v>276</v>
      </c>
      <c r="I447" s="220">
        <v>46910</v>
      </c>
      <c r="J447" s="219">
        <v>3</v>
      </c>
    </row>
    <row r="448" spans="1:10" x14ac:dyDescent="0.25">
      <c r="A448" s="222" t="s">
        <v>443</v>
      </c>
      <c r="B448" s="125" t="s">
        <v>271</v>
      </c>
      <c r="C448" s="125" t="s">
        <v>705</v>
      </c>
      <c r="D448" s="125" t="s">
        <v>256</v>
      </c>
      <c r="E448" s="221">
        <v>35412</v>
      </c>
      <c r="F448" s="125" t="str">
        <f>CHOOSE(MONTH(E448),"January","February","March","April","May","June","July","August","September","October","November","December")</f>
        <v>December</v>
      </c>
      <c r="G448" s="125">
        <f ca="1">DATEDIF(E448,TODAY(),"Y")</f>
        <v>19</v>
      </c>
      <c r="H448" s="125" t="s">
        <v>262</v>
      </c>
      <c r="I448" s="220">
        <v>77950</v>
      </c>
      <c r="J448" s="219">
        <v>4</v>
      </c>
    </row>
    <row r="449" spans="1:10" x14ac:dyDescent="0.25">
      <c r="A449" s="222" t="s">
        <v>952</v>
      </c>
      <c r="B449" s="125" t="s">
        <v>266</v>
      </c>
      <c r="C449" s="125" t="s">
        <v>705</v>
      </c>
      <c r="D449" s="125" t="s">
        <v>256</v>
      </c>
      <c r="E449" s="221">
        <v>34740</v>
      </c>
      <c r="F449" s="125" t="str">
        <f>CHOOSE(MONTH(E449),"January","February","March","April","May","June","July","August","September","October","November","December")</f>
        <v>February</v>
      </c>
      <c r="G449" s="125">
        <f ca="1">DATEDIF(E449,TODAY(),"Y")</f>
        <v>21</v>
      </c>
      <c r="H449" s="125" t="s">
        <v>267</v>
      </c>
      <c r="I449" s="220">
        <v>77840</v>
      </c>
      <c r="J449" s="219">
        <v>2</v>
      </c>
    </row>
    <row r="450" spans="1:10" x14ac:dyDescent="0.25">
      <c r="A450" s="222" t="s">
        <v>419</v>
      </c>
      <c r="B450" s="125" t="s">
        <v>271</v>
      </c>
      <c r="C450" s="125" t="s">
        <v>705</v>
      </c>
      <c r="D450" s="125" t="s">
        <v>261</v>
      </c>
      <c r="E450" s="221">
        <v>33502</v>
      </c>
      <c r="F450" s="125" t="str">
        <f>CHOOSE(MONTH(E450),"January","February","March","April","May","June","July","August","September","October","November","December")</f>
        <v>September</v>
      </c>
      <c r="G450" s="125">
        <f ca="1">DATEDIF(E450,TODAY(),"Y")</f>
        <v>25</v>
      </c>
      <c r="H450" s="125" t="s">
        <v>262</v>
      </c>
      <c r="I450" s="220">
        <v>35045</v>
      </c>
      <c r="J450" s="219">
        <v>4</v>
      </c>
    </row>
    <row r="451" spans="1:10" x14ac:dyDescent="0.25">
      <c r="A451" s="222" t="s">
        <v>260</v>
      </c>
      <c r="B451" s="125" t="s">
        <v>285</v>
      </c>
      <c r="C451" s="125" t="s">
        <v>705</v>
      </c>
      <c r="D451" s="125" t="s">
        <v>256</v>
      </c>
      <c r="E451" s="221">
        <v>38916</v>
      </c>
      <c r="F451" s="125" t="str">
        <f>CHOOSE(MONTH(E451),"January","February","March","April","May","June","July","August","September","October","November","December")</f>
        <v>July</v>
      </c>
      <c r="G451" s="125">
        <f ca="1">DATEDIF(E451,TODAY(),"Y")</f>
        <v>10</v>
      </c>
      <c r="H451" s="125" t="s">
        <v>262</v>
      </c>
      <c r="I451" s="220">
        <v>27560</v>
      </c>
      <c r="J451" s="219">
        <v>2</v>
      </c>
    </row>
    <row r="452" spans="1:10" x14ac:dyDescent="0.25">
      <c r="A452" s="222" t="s">
        <v>398</v>
      </c>
      <c r="B452" s="125" t="s">
        <v>245</v>
      </c>
      <c r="C452" s="125" t="s">
        <v>705</v>
      </c>
      <c r="D452" s="125" t="s">
        <v>252</v>
      </c>
      <c r="E452" s="221">
        <v>40403</v>
      </c>
      <c r="F452" s="125" t="str">
        <f>CHOOSE(MONTH(E452),"January","February","March","April","May","June","July","August","September","October","November","December")</f>
        <v>August</v>
      </c>
      <c r="G452" s="125">
        <f ca="1">DATEDIF(E452,TODAY(),"Y")</f>
        <v>6</v>
      </c>
      <c r="I452" s="220">
        <v>15056</v>
      </c>
      <c r="J452" s="219">
        <v>5</v>
      </c>
    </row>
    <row r="453" spans="1:10" x14ac:dyDescent="0.25">
      <c r="A453" s="222" t="s">
        <v>950</v>
      </c>
      <c r="B453" s="125" t="s">
        <v>245</v>
      </c>
      <c r="C453" s="125" t="s">
        <v>705</v>
      </c>
      <c r="D453" s="125" t="s">
        <v>256</v>
      </c>
      <c r="E453" s="221">
        <v>33620</v>
      </c>
      <c r="F453" s="125" t="str">
        <f>CHOOSE(MONTH(E453),"January","February","March","April","May","June","July","August","September","October","November","December")</f>
        <v>January</v>
      </c>
      <c r="G453" s="125">
        <f ca="1">DATEDIF(E453,TODAY(),"Y")</f>
        <v>24</v>
      </c>
      <c r="H453" s="125" t="s">
        <v>283</v>
      </c>
      <c r="I453" s="220">
        <v>43190</v>
      </c>
      <c r="J453" s="219">
        <v>2</v>
      </c>
    </row>
    <row r="454" spans="1:10" x14ac:dyDescent="0.25">
      <c r="A454" s="222" t="s">
        <v>892</v>
      </c>
      <c r="B454" s="125" t="s">
        <v>285</v>
      </c>
      <c r="C454" s="125" t="s">
        <v>705</v>
      </c>
      <c r="D454" s="125" t="s">
        <v>256</v>
      </c>
      <c r="E454" s="221">
        <v>33878</v>
      </c>
      <c r="F454" s="125" t="str">
        <f>CHOOSE(MONTH(E454),"January","February","March","April","May","June","July","August","September","October","November","December")</f>
        <v>October</v>
      </c>
      <c r="G454" s="125">
        <f ca="1">DATEDIF(E454,TODAY(),"Y")</f>
        <v>24</v>
      </c>
      <c r="H454" s="125" t="s">
        <v>276</v>
      </c>
      <c r="I454" s="220">
        <v>75370</v>
      </c>
      <c r="J454" s="219">
        <v>2</v>
      </c>
    </row>
    <row r="455" spans="1:10" x14ac:dyDescent="0.25">
      <c r="A455" s="222" t="s">
        <v>384</v>
      </c>
      <c r="B455" s="125" t="s">
        <v>271</v>
      </c>
      <c r="C455" s="125" t="s">
        <v>705</v>
      </c>
      <c r="D455" s="125" t="s">
        <v>256</v>
      </c>
      <c r="E455" s="221">
        <v>35969</v>
      </c>
      <c r="F455" s="125" t="str">
        <f>CHOOSE(MONTH(E455),"January","February","March","April","May","June","July","August","September","October","November","December")</f>
        <v>June</v>
      </c>
      <c r="G455" s="125">
        <f ca="1">DATEDIF(E455,TODAY(),"Y")</f>
        <v>18</v>
      </c>
      <c r="H455" s="125" t="s">
        <v>257</v>
      </c>
      <c r="I455" s="220">
        <v>74530</v>
      </c>
      <c r="J455" s="219">
        <v>5</v>
      </c>
    </row>
    <row r="456" spans="1:10" x14ac:dyDescent="0.25">
      <c r="A456" s="222" t="s">
        <v>1001</v>
      </c>
      <c r="B456" s="125" t="s">
        <v>251</v>
      </c>
      <c r="C456" s="125" t="s">
        <v>705</v>
      </c>
      <c r="D456" s="125" t="s">
        <v>261</v>
      </c>
      <c r="E456" s="221">
        <v>34617</v>
      </c>
      <c r="F456" s="125" t="str">
        <f>CHOOSE(MONTH(E456),"January","February","March","April","May","June","July","August","September","October","November","December")</f>
        <v>October</v>
      </c>
      <c r="G456" s="125">
        <f ca="1">DATEDIF(E456,TODAY(),"Y")</f>
        <v>22</v>
      </c>
      <c r="H456" s="125" t="s">
        <v>257</v>
      </c>
      <c r="I456" s="220">
        <v>13435</v>
      </c>
      <c r="J456" s="219">
        <v>1</v>
      </c>
    </row>
    <row r="457" spans="1:10" x14ac:dyDescent="0.25">
      <c r="A457" s="222" t="s">
        <v>453</v>
      </c>
      <c r="B457" s="125" t="s">
        <v>271</v>
      </c>
      <c r="C457" s="125" t="s">
        <v>705</v>
      </c>
      <c r="D457" s="125" t="s">
        <v>256</v>
      </c>
      <c r="E457" s="221">
        <v>34111</v>
      </c>
      <c r="F457" s="125" t="str">
        <f>CHOOSE(MONTH(E457),"January","February","March","April","May","June","July","August","September","October","November","December")</f>
        <v>May</v>
      </c>
      <c r="G457" s="125">
        <f ca="1">DATEDIF(E457,TODAY(),"Y")</f>
        <v>23</v>
      </c>
      <c r="H457" s="125" t="s">
        <v>283</v>
      </c>
      <c r="I457" s="220">
        <v>73030</v>
      </c>
      <c r="J457" s="219">
        <v>5</v>
      </c>
    </row>
    <row r="458" spans="1:10" x14ac:dyDescent="0.25">
      <c r="A458" s="222" t="s">
        <v>791</v>
      </c>
      <c r="B458" s="125" t="s">
        <v>245</v>
      </c>
      <c r="C458" s="125" t="s">
        <v>705</v>
      </c>
      <c r="D458" s="125" t="s">
        <v>256</v>
      </c>
      <c r="E458" s="221">
        <v>33636</v>
      </c>
      <c r="F458" s="125" t="str">
        <f>CHOOSE(MONTH(E458),"January","February","March","April","May","June","July","August","September","October","November","December")</f>
        <v>February</v>
      </c>
      <c r="G458" s="125">
        <f ca="1">DATEDIF(E458,TODAY(),"Y")</f>
        <v>24</v>
      </c>
      <c r="H458" s="125" t="s">
        <v>257</v>
      </c>
      <c r="I458" s="220">
        <v>26360</v>
      </c>
      <c r="J458" s="219">
        <v>1</v>
      </c>
    </row>
    <row r="459" spans="1:10" x14ac:dyDescent="0.25">
      <c r="A459" s="222" t="s">
        <v>736</v>
      </c>
      <c r="B459" s="125" t="s">
        <v>285</v>
      </c>
      <c r="C459" s="125" t="s">
        <v>705</v>
      </c>
      <c r="D459" s="125" t="s">
        <v>256</v>
      </c>
      <c r="E459" s="221">
        <v>38807</v>
      </c>
      <c r="F459" s="125" t="str">
        <f>CHOOSE(MONTH(E459),"January","February","March","April","May","June","July","August","September","October","November","December")</f>
        <v>March</v>
      </c>
      <c r="G459" s="125">
        <f ca="1">DATEDIF(E459,TODAY(),"Y")</f>
        <v>10</v>
      </c>
      <c r="H459" s="125" t="s">
        <v>257</v>
      </c>
      <c r="I459" s="220">
        <v>47060</v>
      </c>
      <c r="J459" s="219">
        <v>4</v>
      </c>
    </row>
    <row r="460" spans="1:10" x14ac:dyDescent="0.25">
      <c r="A460" s="222" t="s">
        <v>998</v>
      </c>
      <c r="B460" s="125" t="s">
        <v>285</v>
      </c>
      <c r="C460" s="125" t="s">
        <v>705</v>
      </c>
      <c r="D460" s="125" t="s">
        <v>256</v>
      </c>
      <c r="E460" s="221">
        <v>39404</v>
      </c>
      <c r="F460" s="125" t="str">
        <f>CHOOSE(MONTH(E460),"January","February","March","April","May","June","July","August","September","October","November","December")</f>
        <v>November</v>
      </c>
      <c r="G460" s="125">
        <f ca="1">DATEDIF(E460,TODAY(),"Y")</f>
        <v>8</v>
      </c>
      <c r="H460" s="125" t="s">
        <v>267</v>
      </c>
      <c r="I460" s="220">
        <v>50990</v>
      </c>
      <c r="J460" s="219">
        <v>4</v>
      </c>
    </row>
    <row r="461" spans="1:10" x14ac:dyDescent="0.25">
      <c r="A461" s="222" t="s">
        <v>606</v>
      </c>
      <c r="B461" s="125" t="s">
        <v>285</v>
      </c>
      <c r="C461" s="125" t="s">
        <v>705</v>
      </c>
      <c r="D461" s="125" t="s">
        <v>247</v>
      </c>
      <c r="E461" s="221">
        <v>33811</v>
      </c>
      <c r="F461" s="125" t="str">
        <f>CHOOSE(MONTH(E461),"January","February","March","April","May","June","July","August","September","October","November","December")</f>
        <v>July</v>
      </c>
      <c r="G461" s="125">
        <f ca="1">DATEDIF(E461,TODAY(),"Y")</f>
        <v>24</v>
      </c>
      <c r="I461" s="220">
        <v>32650</v>
      </c>
      <c r="J461" s="219">
        <v>1</v>
      </c>
    </row>
    <row r="462" spans="1:10" x14ac:dyDescent="0.25">
      <c r="A462" s="222" t="s">
        <v>476</v>
      </c>
      <c r="B462" s="125" t="s">
        <v>271</v>
      </c>
      <c r="C462" s="125" t="s">
        <v>705</v>
      </c>
      <c r="D462" s="125" t="s">
        <v>247</v>
      </c>
      <c r="E462" s="221">
        <v>36623</v>
      </c>
      <c r="F462" s="125" t="str">
        <f>CHOOSE(MONTH(E462),"January","February","March","April","May","June","July","August","September","October","November","December")</f>
        <v>April</v>
      </c>
      <c r="G462" s="125">
        <f ca="1">DATEDIF(E462,TODAY(),"Y")</f>
        <v>16</v>
      </c>
      <c r="I462" s="220">
        <v>30300</v>
      </c>
      <c r="J462" s="219">
        <v>1</v>
      </c>
    </row>
    <row r="463" spans="1:10" x14ac:dyDescent="0.25">
      <c r="A463" s="222" t="s">
        <v>1004</v>
      </c>
      <c r="B463" s="125" t="s">
        <v>285</v>
      </c>
      <c r="C463" s="125" t="s">
        <v>705</v>
      </c>
      <c r="D463" s="125" t="s">
        <v>256</v>
      </c>
      <c r="E463" s="221">
        <v>35903</v>
      </c>
      <c r="F463" s="125" t="str">
        <f>CHOOSE(MONTH(E463),"January","February","March","April","May","June","July","August","September","October","November","December")</f>
        <v>April</v>
      </c>
      <c r="G463" s="125">
        <f ca="1">DATEDIF(E463,TODAY(),"Y")</f>
        <v>18</v>
      </c>
      <c r="H463" s="125" t="s">
        <v>257</v>
      </c>
      <c r="I463" s="220">
        <v>68520</v>
      </c>
      <c r="J463" s="219">
        <v>5</v>
      </c>
    </row>
    <row r="464" spans="1:10" x14ac:dyDescent="0.25">
      <c r="A464" s="222" t="s">
        <v>830</v>
      </c>
      <c r="B464" s="125" t="s">
        <v>285</v>
      </c>
      <c r="C464" s="125" t="s">
        <v>705</v>
      </c>
      <c r="D464" s="125" t="s">
        <v>256</v>
      </c>
      <c r="E464" s="221">
        <v>33928</v>
      </c>
      <c r="F464" s="125" t="str">
        <f>CHOOSE(MONTH(E464),"January","February","March","April","May","June","July","August","September","October","November","December")</f>
        <v>November</v>
      </c>
      <c r="G464" s="125">
        <f ca="1">DATEDIF(E464,TODAY(),"Y")</f>
        <v>23</v>
      </c>
      <c r="H464" s="125" t="s">
        <v>262</v>
      </c>
      <c r="I464" s="220">
        <v>68010</v>
      </c>
      <c r="J464" s="219">
        <v>1</v>
      </c>
    </row>
    <row r="465" spans="1:10" x14ac:dyDescent="0.25">
      <c r="A465" s="222" t="s">
        <v>684</v>
      </c>
      <c r="B465" s="125" t="s">
        <v>285</v>
      </c>
      <c r="C465" s="125" t="s">
        <v>705</v>
      </c>
      <c r="D465" s="125" t="s">
        <v>256</v>
      </c>
      <c r="E465" s="221">
        <v>35379</v>
      </c>
      <c r="F465" s="125" t="str">
        <f>CHOOSE(MONTH(E465),"January","February","March","April","May","June","July","August","September","October","November","December")</f>
        <v>November</v>
      </c>
      <c r="G465" s="125">
        <f ca="1">DATEDIF(E465,TODAY(),"Y")</f>
        <v>19</v>
      </c>
      <c r="H465" s="125" t="s">
        <v>276</v>
      </c>
      <c r="I465" s="220">
        <v>67230</v>
      </c>
      <c r="J465" s="219">
        <v>4</v>
      </c>
    </row>
    <row r="466" spans="1:10" x14ac:dyDescent="0.25">
      <c r="A466" s="222" t="s">
        <v>331</v>
      </c>
      <c r="B466" s="125" t="s">
        <v>251</v>
      </c>
      <c r="C466" s="125" t="s">
        <v>705</v>
      </c>
      <c r="D466" s="125" t="s">
        <v>256</v>
      </c>
      <c r="E466" s="221">
        <v>40370</v>
      </c>
      <c r="F466" s="125" t="str">
        <f>CHOOSE(MONTH(E466),"January","February","March","April","May","June","July","August","September","October","November","December")</f>
        <v>July</v>
      </c>
      <c r="G466" s="125">
        <f ca="1">DATEDIF(E466,TODAY(),"Y")</f>
        <v>6</v>
      </c>
      <c r="H466" s="125" t="s">
        <v>257</v>
      </c>
      <c r="I466" s="220">
        <v>66840</v>
      </c>
      <c r="J466" s="219">
        <v>4</v>
      </c>
    </row>
    <row r="467" spans="1:10" x14ac:dyDescent="0.25">
      <c r="A467" s="222" t="s">
        <v>486</v>
      </c>
      <c r="B467" s="125" t="s">
        <v>251</v>
      </c>
      <c r="C467" s="125" t="s">
        <v>705</v>
      </c>
      <c r="D467" s="125" t="s">
        <v>247</v>
      </c>
      <c r="E467" s="221">
        <v>34502</v>
      </c>
      <c r="F467" s="125" t="str">
        <f>CHOOSE(MONTH(E467),"January","February","March","April","May","June","July","August","September","October","November","December")</f>
        <v>June</v>
      </c>
      <c r="G467" s="125">
        <f ca="1">DATEDIF(E467,TODAY(),"Y")</f>
        <v>22</v>
      </c>
      <c r="I467" s="220">
        <v>66710</v>
      </c>
      <c r="J467" s="219">
        <v>2</v>
      </c>
    </row>
    <row r="468" spans="1:10" x14ac:dyDescent="0.25">
      <c r="A468" s="222" t="s">
        <v>914</v>
      </c>
      <c r="B468" s="125" t="s">
        <v>245</v>
      </c>
      <c r="C468" s="125" t="s">
        <v>705</v>
      </c>
      <c r="D468" s="125" t="s">
        <v>256</v>
      </c>
      <c r="E468" s="221">
        <v>35339</v>
      </c>
      <c r="F468" s="125" t="str">
        <f>CHOOSE(MONTH(E468),"January","February","March","April","May","June","July","August","September","October","November","December")</f>
        <v>October</v>
      </c>
      <c r="G468" s="125">
        <f ca="1">DATEDIF(E468,TODAY(),"Y")</f>
        <v>20</v>
      </c>
      <c r="H468" s="125" t="s">
        <v>283</v>
      </c>
      <c r="I468" s="220">
        <v>43410</v>
      </c>
      <c r="J468" s="219">
        <v>1</v>
      </c>
    </row>
    <row r="469" spans="1:10" x14ac:dyDescent="0.25">
      <c r="A469" s="222" t="s">
        <v>846</v>
      </c>
      <c r="B469" s="125" t="s">
        <v>266</v>
      </c>
      <c r="C469" s="125" t="s">
        <v>705</v>
      </c>
      <c r="D469" s="125" t="s">
        <v>261</v>
      </c>
      <c r="E469" s="221">
        <v>40393</v>
      </c>
      <c r="F469" s="125" t="str">
        <f>CHOOSE(MONTH(E469),"January","February","March","April","May","June","July","August","September","October","November","December")</f>
        <v>August</v>
      </c>
      <c r="G469" s="125">
        <f ca="1">DATEDIF(E469,TODAY(),"Y")</f>
        <v>6</v>
      </c>
      <c r="H469" s="125" t="s">
        <v>257</v>
      </c>
      <c r="I469" s="220">
        <v>16925</v>
      </c>
      <c r="J469" s="219">
        <v>1</v>
      </c>
    </row>
    <row r="470" spans="1:10" x14ac:dyDescent="0.25">
      <c r="A470" s="222" t="s">
        <v>529</v>
      </c>
      <c r="B470" s="125" t="s">
        <v>280</v>
      </c>
      <c r="C470" s="125" t="s">
        <v>705</v>
      </c>
      <c r="D470" s="125" t="s">
        <v>247</v>
      </c>
      <c r="E470" s="221">
        <v>35921</v>
      </c>
      <c r="F470" s="125" t="str">
        <f>CHOOSE(MONTH(E470),"January","February","March","April","May","June","July","August","September","October","November","December")</f>
        <v>May</v>
      </c>
      <c r="G470" s="125">
        <f ca="1">DATEDIF(E470,TODAY(),"Y")</f>
        <v>18</v>
      </c>
      <c r="I470" s="220">
        <v>63330</v>
      </c>
      <c r="J470" s="219">
        <v>4</v>
      </c>
    </row>
    <row r="471" spans="1:10" x14ac:dyDescent="0.25">
      <c r="A471" s="222" t="s">
        <v>513</v>
      </c>
      <c r="B471" s="125" t="s">
        <v>280</v>
      </c>
      <c r="C471" s="125" t="s">
        <v>705</v>
      </c>
      <c r="D471" s="125" t="s">
        <v>256</v>
      </c>
      <c r="E471" s="221">
        <v>35133</v>
      </c>
      <c r="F471" s="125" t="str">
        <f>CHOOSE(MONTH(E471),"January","February","March","April","May","June","July","August","September","October","November","December")</f>
        <v>March</v>
      </c>
      <c r="G471" s="125">
        <f ca="1">DATEDIF(E471,TODAY(),"Y")</f>
        <v>20</v>
      </c>
      <c r="H471" s="125" t="s">
        <v>283</v>
      </c>
      <c r="I471" s="220">
        <v>63080</v>
      </c>
      <c r="J471" s="219">
        <v>5</v>
      </c>
    </row>
    <row r="472" spans="1:10" x14ac:dyDescent="0.25">
      <c r="A472" s="222" t="s">
        <v>380</v>
      </c>
      <c r="B472" s="125" t="s">
        <v>285</v>
      </c>
      <c r="C472" s="125" t="s">
        <v>705</v>
      </c>
      <c r="D472" s="125" t="s">
        <v>256</v>
      </c>
      <c r="E472" s="221">
        <v>33457</v>
      </c>
      <c r="F472" s="125" t="str">
        <f>CHOOSE(MONTH(E472),"January","February","March","April","May","June","July","August","September","October","November","December")</f>
        <v>August</v>
      </c>
      <c r="G472" s="125">
        <f ca="1">DATEDIF(E472,TODAY(),"Y")</f>
        <v>25</v>
      </c>
      <c r="H472" s="125" t="s">
        <v>267</v>
      </c>
      <c r="I472" s="220">
        <v>61470</v>
      </c>
      <c r="J472" s="219">
        <v>5</v>
      </c>
    </row>
    <row r="473" spans="1:10" x14ac:dyDescent="0.25">
      <c r="A473" s="222" t="s">
        <v>706</v>
      </c>
      <c r="B473" s="125" t="s">
        <v>271</v>
      </c>
      <c r="C473" s="125" t="s">
        <v>705</v>
      </c>
      <c r="D473" s="125" t="s">
        <v>256</v>
      </c>
      <c r="E473" s="221">
        <v>34901</v>
      </c>
      <c r="F473" s="125" t="str">
        <f>CHOOSE(MONTH(E473),"January","February","March","April","May","June","July","August","September","October","November","December")</f>
        <v>July</v>
      </c>
      <c r="G473" s="125">
        <f ca="1">DATEDIF(E473,TODAY(),"Y")</f>
        <v>21</v>
      </c>
      <c r="H473" s="125" t="s">
        <v>257</v>
      </c>
      <c r="I473" s="220">
        <v>25830</v>
      </c>
      <c r="J473" s="219">
        <v>5</v>
      </c>
    </row>
    <row r="474" spans="1:10" x14ac:dyDescent="0.25">
      <c r="A474" s="222" t="s">
        <v>806</v>
      </c>
      <c r="B474" s="125" t="s">
        <v>285</v>
      </c>
      <c r="C474" s="125" t="s">
        <v>705</v>
      </c>
      <c r="D474" s="125" t="s">
        <v>261</v>
      </c>
      <c r="E474" s="221">
        <v>36695</v>
      </c>
      <c r="F474" s="125" t="str">
        <f>CHOOSE(MONTH(E474),"January","February","March","April","May","June","July","August","September","October","November","December")</f>
        <v>June</v>
      </c>
      <c r="G474" s="125">
        <f ca="1">DATEDIF(E474,TODAY(),"Y")</f>
        <v>16</v>
      </c>
      <c r="H474" s="125" t="s">
        <v>283</v>
      </c>
      <c r="I474" s="220">
        <v>29005</v>
      </c>
      <c r="J474" s="219">
        <v>1</v>
      </c>
    </row>
    <row r="475" spans="1:10" x14ac:dyDescent="0.25">
      <c r="A475" s="222" t="s">
        <v>627</v>
      </c>
      <c r="B475" s="125" t="s">
        <v>285</v>
      </c>
      <c r="C475" s="125" t="s">
        <v>705</v>
      </c>
      <c r="D475" s="125" t="s">
        <v>252</v>
      </c>
      <c r="E475" s="221">
        <v>38144</v>
      </c>
      <c r="F475" s="125" t="str">
        <f>CHOOSE(MONTH(E475),"January","February","March","April","May","June","July","August","September","October","November","December")</f>
        <v>June</v>
      </c>
      <c r="G475" s="125">
        <f ca="1">DATEDIF(E475,TODAY(),"Y")</f>
        <v>12</v>
      </c>
      <c r="I475" s="220">
        <v>33512</v>
      </c>
      <c r="J475" s="219">
        <v>4</v>
      </c>
    </row>
    <row r="476" spans="1:10" x14ac:dyDescent="0.25">
      <c r="A476" s="222" t="s">
        <v>425</v>
      </c>
      <c r="B476" s="125" t="s">
        <v>271</v>
      </c>
      <c r="C476" s="125" t="s">
        <v>705</v>
      </c>
      <c r="D476" s="125" t="s">
        <v>256</v>
      </c>
      <c r="E476" s="221">
        <v>33578</v>
      </c>
      <c r="F476" s="125" t="str">
        <f>CHOOSE(MONTH(E476),"January","February","March","April","May","June","July","August","September","October","November","December")</f>
        <v>December</v>
      </c>
      <c r="G476" s="125">
        <f ca="1">DATEDIF(E476,TODAY(),"Y")</f>
        <v>24</v>
      </c>
      <c r="H476" s="125" t="s">
        <v>257</v>
      </c>
      <c r="I476" s="220">
        <v>43580</v>
      </c>
      <c r="J476" s="219">
        <v>5</v>
      </c>
    </row>
    <row r="477" spans="1:10" x14ac:dyDescent="0.25">
      <c r="A477" s="222" t="s">
        <v>475</v>
      </c>
      <c r="B477" s="125" t="s">
        <v>251</v>
      </c>
      <c r="C477" s="125" t="s">
        <v>705</v>
      </c>
      <c r="D477" s="125" t="s">
        <v>247</v>
      </c>
      <c r="E477" s="221">
        <v>40468</v>
      </c>
      <c r="F477" s="125" t="str">
        <f>CHOOSE(MONTH(E477),"January","February","March","April","May","June","July","August","September","October","November","December")</f>
        <v>October</v>
      </c>
      <c r="G477" s="125">
        <f ca="1">DATEDIF(E477,TODAY(),"Y")</f>
        <v>6</v>
      </c>
      <c r="I477" s="220">
        <v>39440</v>
      </c>
      <c r="J477" s="219">
        <v>4</v>
      </c>
    </row>
    <row r="478" spans="1:10" x14ac:dyDescent="0.25">
      <c r="A478" s="222" t="s">
        <v>973</v>
      </c>
      <c r="B478" s="125" t="s">
        <v>280</v>
      </c>
      <c r="C478" s="125" t="s">
        <v>705</v>
      </c>
      <c r="D478" s="125" t="s">
        <v>247</v>
      </c>
      <c r="E478" s="221">
        <v>39783</v>
      </c>
      <c r="F478" s="125" t="str">
        <f>CHOOSE(MONTH(E478),"January","February","March","April","May","June","July","August","September","October","November","December")</f>
        <v>December</v>
      </c>
      <c r="G478" s="125">
        <f ca="1">DATEDIF(E478,TODAY(),"Y")</f>
        <v>7</v>
      </c>
      <c r="I478" s="220">
        <v>54000</v>
      </c>
      <c r="J478" s="219">
        <v>3</v>
      </c>
    </row>
    <row r="479" spans="1:10" x14ac:dyDescent="0.25">
      <c r="A479" s="223" t="s">
        <v>750</v>
      </c>
    </row>
    <row r="480" spans="1:10" x14ac:dyDescent="0.25">
      <c r="A480" s="222" t="s">
        <v>433</v>
      </c>
      <c r="B480" s="125" t="s">
        <v>285</v>
      </c>
      <c r="C480" s="125" t="s">
        <v>750</v>
      </c>
      <c r="D480" s="125" t="s">
        <v>256</v>
      </c>
      <c r="E480" s="221">
        <v>33280</v>
      </c>
      <c r="F480" s="125" t="str">
        <f>CHOOSE(MONTH(E480),"January","February","March","April","May","June","July","August","September","October","November","December")</f>
        <v>February</v>
      </c>
      <c r="G480" s="125">
        <f ca="1">DATEDIF(E480,TODAY(),"Y")</f>
        <v>25</v>
      </c>
      <c r="H480" s="125" t="s">
        <v>257</v>
      </c>
      <c r="I480" s="220">
        <v>87950</v>
      </c>
      <c r="J480" s="219">
        <v>4</v>
      </c>
    </row>
    <row r="481" spans="1:10" x14ac:dyDescent="0.25">
      <c r="A481" s="222" t="s">
        <v>376</v>
      </c>
      <c r="B481" s="125" t="s">
        <v>245</v>
      </c>
      <c r="C481" s="125" t="s">
        <v>750</v>
      </c>
      <c r="D481" s="125" t="s">
        <v>256</v>
      </c>
      <c r="E481" s="221">
        <v>33588</v>
      </c>
      <c r="F481" s="125" t="str">
        <f>CHOOSE(MONTH(E481),"January","February","March","April","May","June","July","August","September","October","November","December")</f>
        <v>December</v>
      </c>
      <c r="G481" s="125">
        <f ca="1">DATEDIF(E481,TODAY(),"Y")</f>
        <v>24</v>
      </c>
      <c r="H481" s="125" t="s">
        <v>283</v>
      </c>
      <c r="I481" s="220">
        <v>44620</v>
      </c>
      <c r="J481" s="219">
        <v>5</v>
      </c>
    </row>
    <row r="482" spans="1:10" x14ac:dyDescent="0.25">
      <c r="A482" s="222" t="s">
        <v>416</v>
      </c>
      <c r="B482" s="125" t="s">
        <v>271</v>
      </c>
      <c r="C482" s="125" t="s">
        <v>750</v>
      </c>
      <c r="D482" s="125" t="s">
        <v>256</v>
      </c>
      <c r="E482" s="221">
        <v>33536</v>
      </c>
      <c r="F482" s="125" t="str">
        <f>CHOOSE(MONTH(E482),"January","February","March","April","May","June","July","August","September","October","November","December")</f>
        <v>October</v>
      </c>
      <c r="G482" s="125">
        <f ca="1">DATEDIF(E482,TODAY(),"Y")</f>
        <v>25</v>
      </c>
      <c r="H482" s="125" t="s">
        <v>257</v>
      </c>
      <c r="I482" s="220">
        <v>81530</v>
      </c>
      <c r="J482" s="219">
        <v>5</v>
      </c>
    </row>
    <row r="483" spans="1:10" x14ac:dyDescent="0.25">
      <c r="A483" s="222" t="s">
        <v>956</v>
      </c>
      <c r="B483" s="125" t="s">
        <v>285</v>
      </c>
      <c r="C483" s="125" t="s">
        <v>750</v>
      </c>
      <c r="D483" s="125" t="s">
        <v>261</v>
      </c>
      <c r="E483" s="221">
        <v>33112</v>
      </c>
      <c r="F483" s="125" t="str">
        <f>CHOOSE(MONTH(E483),"January","February","March","April","May","June","July","August","September","October","November","December")</f>
        <v>August</v>
      </c>
      <c r="G483" s="125">
        <f ca="1">DATEDIF(E483,TODAY(),"Y")</f>
        <v>26</v>
      </c>
      <c r="H483" s="125" t="s">
        <v>267</v>
      </c>
      <c r="I483" s="220">
        <v>24815</v>
      </c>
      <c r="J483" s="219">
        <v>1</v>
      </c>
    </row>
    <row r="484" spans="1:10" x14ac:dyDescent="0.25">
      <c r="A484" s="222" t="s">
        <v>937</v>
      </c>
      <c r="B484" s="125" t="s">
        <v>271</v>
      </c>
      <c r="C484" s="125" t="s">
        <v>750</v>
      </c>
      <c r="D484" s="125" t="s">
        <v>256</v>
      </c>
      <c r="E484" s="221">
        <v>33460</v>
      </c>
      <c r="F484" s="125" t="str">
        <f>CHOOSE(MONTH(E484),"January","February","March","April","May","June","July","August","September","October","November","December")</f>
        <v>August</v>
      </c>
      <c r="G484" s="125">
        <f ca="1">DATEDIF(E484,TODAY(),"Y")</f>
        <v>25</v>
      </c>
      <c r="H484" s="125" t="s">
        <v>283</v>
      </c>
      <c r="I484" s="220">
        <v>77720</v>
      </c>
      <c r="J484" s="219">
        <v>3</v>
      </c>
    </row>
    <row r="485" spans="1:10" x14ac:dyDescent="0.25">
      <c r="A485" s="222" t="s">
        <v>432</v>
      </c>
      <c r="B485" s="125" t="s">
        <v>245</v>
      </c>
      <c r="C485" s="125" t="s">
        <v>750</v>
      </c>
      <c r="D485" s="125" t="s">
        <v>261</v>
      </c>
      <c r="E485" s="221">
        <v>33160</v>
      </c>
      <c r="F485" s="125" t="str">
        <f>CHOOSE(MONTH(E485),"January","February","March","April","May","June","July","August","September","October","November","December")</f>
        <v>October</v>
      </c>
      <c r="G485" s="125">
        <f ca="1">DATEDIF(E485,TODAY(),"Y")</f>
        <v>26</v>
      </c>
      <c r="H485" s="125" t="s">
        <v>262</v>
      </c>
      <c r="I485" s="220">
        <v>39620</v>
      </c>
      <c r="J485" s="219">
        <v>5</v>
      </c>
    </row>
    <row r="486" spans="1:10" x14ac:dyDescent="0.25">
      <c r="A486" s="222" t="s">
        <v>733</v>
      </c>
      <c r="B486" s="125" t="s">
        <v>285</v>
      </c>
      <c r="C486" s="125" t="s">
        <v>750</v>
      </c>
      <c r="D486" s="125" t="s">
        <v>261</v>
      </c>
      <c r="E486" s="221">
        <v>33349</v>
      </c>
      <c r="F486" s="125" t="str">
        <f>CHOOSE(MONTH(E486),"January","February","March","April","May","June","July","August","September","October","November","December")</f>
        <v>April</v>
      </c>
      <c r="G486" s="125">
        <f ca="1">DATEDIF(E486,TODAY(),"Y")</f>
        <v>25</v>
      </c>
      <c r="H486" s="125" t="s">
        <v>276</v>
      </c>
      <c r="I486" s="220">
        <v>16015</v>
      </c>
      <c r="J486" s="219">
        <v>3</v>
      </c>
    </row>
    <row r="487" spans="1:10" x14ac:dyDescent="0.25">
      <c r="A487" s="222" t="s">
        <v>765</v>
      </c>
      <c r="B487" s="125" t="s">
        <v>285</v>
      </c>
      <c r="C487" s="125" t="s">
        <v>750</v>
      </c>
      <c r="D487" s="125" t="s">
        <v>256</v>
      </c>
      <c r="E487" s="221">
        <v>33246</v>
      </c>
      <c r="F487" s="125" t="str">
        <f>CHOOSE(MONTH(E487),"January","February","March","April","May","June","July","August","September","October","November","December")</f>
        <v>January</v>
      </c>
      <c r="G487" s="125">
        <f ca="1">DATEDIF(E487,TODAY(),"Y")</f>
        <v>25</v>
      </c>
      <c r="H487" s="125" t="s">
        <v>257</v>
      </c>
      <c r="I487" s="220">
        <v>71730</v>
      </c>
      <c r="J487" s="219">
        <v>1</v>
      </c>
    </row>
    <row r="488" spans="1:10" x14ac:dyDescent="0.25">
      <c r="A488" s="222" t="s">
        <v>317</v>
      </c>
      <c r="B488" s="125" t="s">
        <v>271</v>
      </c>
      <c r="C488" s="125" t="s">
        <v>750</v>
      </c>
      <c r="D488" s="125" t="s">
        <v>256</v>
      </c>
      <c r="E488" s="221">
        <v>33440</v>
      </c>
      <c r="F488" s="125" t="str">
        <f>CHOOSE(MONTH(E488),"January","February","March","April","May","June","July","August","September","October","November","December")</f>
        <v>July</v>
      </c>
      <c r="G488" s="125">
        <f ca="1">DATEDIF(E488,TODAY(),"Y")</f>
        <v>25</v>
      </c>
      <c r="H488" s="125" t="s">
        <v>257</v>
      </c>
      <c r="I488" s="220">
        <v>69400</v>
      </c>
      <c r="J488" s="219">
        <v>5</v>
      </c>
    </row>
    <row r="489" spans="1:10" x14ac:dyDescent="0.25">
      <c r="A489" s="222" t="s">
        <v>855</v>
      </c>
      <c r="B489" s="125" t="s">
        <v>266</v>
      </c>
      <c r="C489" s="125" t="s">
        <v>750</v>
      </c>
      <c r="D489" s="125" t="s">
        <v>256</v>
      </c>
      <c r="E489" s="221">
        <v>33513</v>
      </c>
      <c r="F489" s="125" t="str">
        <f>CHOOSE(MONTH(E489),"January","February","March","April","May","June","July","August","September","October","November","December")</f>
        <v>October</v>
      </c>
      <c r="G489" s="125">
        <f ca="1">DATEDIF(E489,TODAY(),"Y")</f>
        <v>25</v>
      </c>
      <c r="H489" s="125" t="s">
        <v>267</v>
      </c>
      <c r="I489" s="220">
        <v>44560</v>
      </c>
      <c r="J489" s="219">
        <v>2</v>
      </c>
    </row>
    <row r="490" spans="1:10" x14ac:dyDescent="0.25">
      <c r="A490" s="222" t="s">
        <v>580</v>
      </c>
      <c r="B490" s="125" t="s">
        <v>271</v>
      </c>
      <c r="C490" s="125" t="s">
        <v>750</v>
      </c>
      <c r="D490" s="125" t="s">
        <v>256</v>
      </c>
      <c r="E490" s="221">
        <v>33320</v>
      </c>
      <c r="F490" s="125" t="str">
        <f>CHOOSE(MONTH(E490),"January","February","March","April","May","June","July","August","September","October","November","December")</f>
        <v>March</v>
      </c>
      <c r="G490" s="125">
        <f ca="1">DATEDIF(E490,TODAY(),"Y")</f>
        <v>25</v>
      </c>
      <c r="H490" s="125" t="s">
        <v>276</v>
      </c>
      <c r="I490" s="220">
        <v>35320</v>
      </c>
      <c r="J490" s="219">
        <v>3</v>
      </c>
    </row>
    <row r="491" spans="1:10" x14ac:dyDescent="0.25">
      <c r="A491" s="222" t="s">
        <v>690</v>
      </c>
      <c r="B491" s="125" t="s">
        <v>285</v>
      </c>
      <c r="C491" s="125" t="s">
        <v>750</v>
      </c>
      <c r="D491" s="125" t="s">
        <v>256</v>
      </c>
      <c r="E491" s="221">
        <v>33186</v>
      </c>
      <c r="F491" s="125" t="str">
        <f>CHOOSE(MONTH(E491),"January","February","March","April","May","June","July","August","September","October","November","December")</f>
        <v>November</v>
      </c>
      <c r="G491" s="125">
        <f ca="1">DATEDIF(E491,TODAY(),"Y")</f>
        <v>26</v>
      </c>
      <c r="H491" s="125" t="s">
        <v>257</v>
      </c>
      <c r="I491" s="220">
        <v>40940</v>
      </c>
      <c r="J491" s="219">
        <v>3</v>
      </c>
    </row>
    <row r="492" spans="1:10" x14ac:dyDescent="0.25">
      <c r="A492" s="222" t="s">
        <v>415</v>
      </c>
      <c r="B492" s="125" t="s">
        <v>285</v>
      </c>
      <c r="C492" s="125" t="s">
        <v>750</v>
      </c>
      <c r="D492" s="125" t="s">
        <v>252</v>
      </c>
      <c r="E492" s="221">
        <v>33158</v>
      </c>
      <c r="F492" s="125" t="str">
        <f>CHOOSE(MONTH(E492),"January","February","March","April","May","June","July","August","September","October","November","December")</f>
        <v>October</v>
      </c>
      <c r="G492" s="125">
        <f ca="1">DATEDIF(E492,TODAY(),"Y")</f>
        <v>26</v>
      </c>
      <c r="I492" s="220">
        <v>33232</v>
      </c>
      <c r="J492" s="219">
        <v>4</v>
      </c>
    </row>
    <row r="493" spans="1:10" x14ac:dyDescent="0.25">
      <c r="A493" s="222" t="s">
        <v>667</v>
      </c>
      <c r="B493" s="125" t="s">
        <v>266</v>
      </c>
      <c r="C493" s="125" t="s">
        <v>750</v>
      </c>
      <c r="D493" s="125" t="s">
        <v>256</v>
      </c>
      <c r="E493" s="221">
        <v>33179</v>
      </c>
      <c r="F493" s="125" t="str">
        <f>CHOOSE(MONTH(E493),"January","February","March","April","May","June","July","August","September","October","November","December")</f>
        <v>November</v>
      </c>
      <c r="G493" s="125">
        <f ca="1">DATEDIF(E493,TODAY(),"Y")</f>
        <v>26</v>
      </c>
      <c r="H493" s="125" t="s">
        <v>283</v>
      </c>
      <c r="I493" s="220">
        <v>43110</v>
      </c>
      <c r="J493" s="219">
        <v>2</v>
      </c>
    </row>
    <row r="494" spans="1:10" x14ac:dyDescent="0.25">
      <c r="A494" s="222" t="s">
        <v>631</v>
      </c>
      <c r="B494" s="125" t="s">
        <v>251</v>
      </c>
      <c r="C494" s="125" t="s">
        <v>750</v>
      </c>
      <c r="D494" s="125" t="s">
        <v>247</v>
      </c>
      <c r="E494" s="221">
        <v>33286</v>
      </c>
      <c r="F494" s="125" t="str">
        <f>CHOOSE(MONTH(E494),"January","February","March","April","May","June","July","August","September","October","November","December")</f>
        <v>February</v>
      </c>
      <c r="G494" s="125">
        <f ca="1">DATEDIF(E494,TODAY(),"Y")</f>
        <v>25</v>
      </c>
      <c r="I494" s="220">
        <v>49070</v>
      </c>
      <c r="J494" s="219">
        <v>3</v>
      </c>
    </row>
    <row r="495" spans="1:10" x14ac:dyDescent="0.25">
      <c r="A495" s="222" t="s">
        <v>957</v>
      </c>
      <c r="B495" s="125" t="s">
        <v>271</v>
      </c>
      <c r="C495" s="125" t="s">
        <v>750</v>
      </c>
      <c r="D495" s="125" t="s">
        <v>256</v>
      </c>
      <c r="E495" s="221">
        <v>33113</v>
      </c>
      <c r="F495" s="125" t="str">
        <f>CHOOSE(MONTH(E495),"January","February","March","April","May","June","July","August","September","October","November","December")</f>
        <v>August</v>
      </c>
      <c r="G495" s="125">
        <f ca="1">DATEDIF(E495,TODAY(),"Y")</f>
        <v>26</v>
      </c>
      <c r="H495" s="125" t="s">
        <v>257</v>
      </c>
      <c r="I495" s="220">
        <v>32600</v>
      </c>
      <c r="J495" s="219">
        <v>5</v>
      </c>
    </row>
    <row r="496" spans="1:10" x14ac:dyDescent="0.25">
      <c r="A496" s="223" t="s">
        <v>767</v>
      </c>
    </row>
    <row r="497" spans="1:10" x14ac:dyDescent="0.25">
      <c r="A497" s="222" t="s">
        <v>917</v>
      </c>
      <c r="B497" s="125" t="s">
        <v>245</v>
      </c>
      <c r="C497" s="125" t="s">
        <v>767</v>
      </c>
      <c r="D497" s="125" t="s">
        <v>261</v>
      </c>
      <c r="E497" s="221">
        <v>40421</v>
      </c>
      <c r="F497" s="125" t="str">
        <f>CHOOSE(MONTH(E497),"January","February","March","April","May","June","July","August","September","October","November","December")</f>
        <v>August</v>
      </c>
      <c r="G497" s="125">
        <f ca="1">DATEDIF(E497,TODAY(),"Y")</f>
        <v>6</v>
      </c>
      <c r="H497" s="125" t="s">
        <v>262</v>
      </c>
      <c r="I497" s="220">
        <v>49355</v>
      </c>
      <c r="J497" s="219">
        <v>5</v>
      </c>
    </row>
    <row r="498" spans="1:10" x14ac:dyDescent="0.25">
      <c r="A498" s="222" t="s">
        <v>445</v>
      </c>
      <c r="B498" s="125" t="s">
        <v>285</v>
      </c>
      <c r="C498" s="125" t="s">
        <v>767</v>
      </c>
      <c r="D498" s="125" t="s">
        <v>247</v>
      </c>
      <c r="E498" s="221">
        <v>39343</v>
      </c>
      <c r="F498" s="125" t="str">
        <f>CHOOSE(MONTH(E498),"January","February","March","April","May","June","July","August","September","October","November","December")</f>
        <v>September</v>
      </c>
      <c r="G498" s="125">
        <f ca="1">DATEDIF(E498,TODAY(),"Y")</f>
        <v>9</v>
      </c>
      <c r="I498" s="220">
        <v>89640</v>
      </c>
      <c r="J498" s="219">
        <v>4</v>
      </c>
    </row>
    <row r="499" spans="1:10" x14ac:dyDescent="0.25">
      <c r="A499" s="222" t="s">
        <v>424</v>
      </c>
      <c r="B499" s="125" t="s">
        <v>280</v>
      </c>
      <c r="C499" s="125" t="s">
        <v>767</v>
      </c>
      <c r="D499" s="125" t="s">
        <v>256</v>
      </c>
      <c r="E499" s="221">
        <v>34693</v>
      </c>
      <c r="F499" s="125" t="str">
        <f>CHOOSE(MONTH(E499),"January","February","March","April","May","June","July","August","September","October","November","December")</f>
        <v>December</v>
      </c>
      <c r="G499" s="125">
        <f ca="1">DATEDIF(E499,TODAY(),"Y")</f>
        <v>21</v>
      </c>
      <c r="H499" s="125" t="s">
        <v>262</v>
      </c>
      <c r="I499" s="220">
        <v>88820</v>
      </c>
      <c r="J499" s="219">
        <v>2</v>
      </c>
    </row>
    <row r="500" spans="1:10" x14ac:dyDescent="0.25">
      <c r="A500" s="222" t="s">
        <v>984</v>
      </c>
      <c r="B500" s="125" t="s">
        <v>271</v>
      </c>
      <c r="C500" s="125" t="s">
        <v>767</v>
      </c>
      <c r="D500" s="125" t="s">
        <v>256</v>
      </c>
      <c r="E500" s="221">
        <v>36673</v>
      </c>
      <c r="F500" s="125" t="str">
        <f>CHOOSE(MONTH(E500),"January","February","March","April","May","June","July","August","September","October","November","December")</f>
        <v>May</v>
      </c>
      <c r="G500" s="125">
        <f ca="1">DATEDIF(E500,TODAY(),"Y")</f>
        <v>16</v>
      </c>
      <c r="H500" s="125" t="s">
        <v>276</v>
      </c>
      <c r="I500" s="220">
        <v>48330</v>
      </c>
      <c r="J500" s="219">
        <v>1</v>
      </c>
    </row>
    <row r="501" spans="1:10" x14ac:dyDescent="0.25">
      <c r="A501" s="222" t="s">
        <v>393</v>
      </c>
      <c r="B501" s="125" t="s">
        <v>245</v>
      </c>
      <c r="C501" s="125" t="s">
        <v>767</v>
      </c>
      <c r="D501" s="125" t="s">
        <v>256</v>
      </c>
      <c r="E501" s="221">
        <v>35821</v>
      </c>
      <c r="F501" s="125" t="str">
        <f>CHOOSE(MONTH(E501),"January","February","March","April","May","June","July","August","September","October","November","December")</f>
        <v>January</v>
      </c>
      <c r="G501" s="125">
        <f ca="1">DATEDIF(E501,TODAY(),"Y")</f>
        <v>18</v>
      </c>
      <c r="H501" s="125" t="s">
        <v>267</v>
      </c>
      <c r="I501" s="220">
        <v>22870</v>
      </c>
      <c r="J501" s="219">
        <v>3</v>
      </c>
    </row>
    <row r="502" spans="1:10" x14ac:dyDescent="0.25">
      <c r="A502" s="222" t="s">
        <v>364</v>
      </c>
      <c r="B502" s="125" t="s">
        <v>271</v>
      </c>
      <c r="C502" s="125" t="s">
        <v>767</v>
      </c>
      <c r="D502" s="125" t="s">
        <v>256</v>
      </c>
      <c r="E502" s="221">
        <v>37138</v>
      </c>
      <c r="F502" s="125" t="str">
        <f>CHOOSE(MONTH(E502),"January","February","March","April","May","June","July","August","September","October","November","December")</f>
        <v>September</v>
      </c>
      <c r="G502" s="125">
        <f ca="1">DATEDIF(E502,TODAY(),"Y")</f>
        <v>15</v>
      </c>
      <c r="H502" s="125" t="s">
        <v>257</v>
      </c>
      <c r="I502" s="220">
        <v>29130</v>
      </c>
      <c r="J502" s="219">
        <v>1</v>
      </c>
    </row>
    <row r="503" spans="1:10" x14ac:dyDescent="0.25">
      <c r="A503" s="222" t="s">
        <v>352</v>
      </c>
      <c r="B503" s="125" t="s">
        <v>271</v>
      </c>
      <c r="C503" s="125" t="s">
        <v>767</v>
      </c>
      <c r="D503" s="125" t="s">
        <v>256</v>
      </c>
      <c r="E503" s="221">
        <v>40624</v>
      </c>
      <c r="F503" s="125" t="str">
        <f>CHOOSE(MONTH(E503),"January","February","March","April","May","June","July","August","September","October","November","December")</f>
        <v>March</v>
      </c>
      <c r="G503" s="125">
        <f ca="1">DATEDIF(E503,TODAY(),"Y")</f>
        <v>5</v>
      </c>
      <c r="H503" s="125" t="s">
        <v>276</v>
      </c>
      <c r="I503" s="220">
        <v>86500</v>
      </c>
      <c r="J503" s="219">
        <v>1</v>
      </c>
    </row>
    <row r="504" spans="1:10" x14ac:dyDescent="0.25">
      <c r="A504" s="222" t="s">
        <v>653</v>
      </c>
      <c r="B504" s="125" t="s">
        <v>271</v>
      </c>
      <c r="C504" s="125" t="s">
        <v>767</v>
      </c>
      <c r="D504" s="125" t="s">
        <v>256</v>
      </c>
      <c r="E504" s="221">
        <v>36195</v>
      </c>
      <c r="F504" s="125" t="str">
        <f>CHOOSE(MONTH(E504),"January","February","March","April","May","June","July","August","September","October","November","December")</f>
        <v>February</v>
      </c>
      <c r="G504" s="125">
        <f ca="1">DATEDIF(E504,TODAY(),"Y")</f>
        <v>17</v>
      </c>
      <c r="H504" s="125" t="s">
        <v>267</v>
      </c>
      <c r="I504" s="220">
        <v>46360</v>
      </c>
      <c r="J504" s="219">
        <v>5</v>
      </c>
    </row>
    <row r="505" spans="1:10" x14ac:dyDescent="0.25">
      <c r="A505" s="222" t="s">
        <v>774</v>
      </c>
      <c r="B505" s="125" t="s">
        <v>285</v>
      </c>
      <c r="C505" s="125" t="s">
        <v>767</v>
      </c>
      <c r="D505" s="125" t="s">
        <v>247</v>
      </c>
      <c r="E505" s="221">
        <v>34658</v>
      </c>
      <c r="F505" s="125" t="str">
        <f>CHOOSE(MONTH(E505),"January","February","March","April","May","June","July","August","September","October","November","December")</f>
        <v>November</v>
      </c>
      <c r="G505" s="125">
        <f ca="1">DATEDIF(E505,TODAY(),"Y")</f>
        <v>21</v>
      </c>
      <c r="I505" s="220">
        <v>85980</v>
      </c>
      <c r="J505" s="219">
        <v>2</v>
      </c>
    </row>
    <row r="506" spans="1:10" x14ac:dyDescent="0.25">
      <c r="A506" s="222" t="s">
        <v>827</v>
      </c>
      <c r="B506" s="125" t="s">
        <v>285</v>
      </c>
      <c r="C506" s="125" t="s">
        <v>767</v>
      </c>
      <c r="D506" s="125" t="s">
        <v>256</v>
      </c>
      <c r="E506" s="221">
        <v>39362</v>
      </c>
      <c r="F506" s="125" t="str">
        <f>CHOOSE(MONTH(E506),"January","February","March","April","May","June","July","August","September","October","November","December")</f>
        <v>October</v>
      </c>
      <c r="G506" s="125">
        <f ca="1">DATEDIF(E506,TODAY(),"Y")</f>
        <v>9</v>
      </c>
      <c r="H506" s="125" t="s">
        <v>262</v>
      </c>
      <c r="I506" s="220">
        <v>42020</v>
      </c>
      <c r="J506" s="219">
        <v>5</v>
      </c>
    </row>
    <row r="507" spans="1:10" x14ac:dyDescent="0.25">
      <c r="A507" s="222" t="s">
        <v>638</v>
      </c>
      <c r="B507" s="125" t="s">
        <v>285</v>
      </c>
      <c r="C507" s="125" t="s">
        <v>767</v>
      </c>
      <c r="D507" s="125" t="s">
        <v>252</v>
      </c>
      <c r="E507" s="221">
        <v>36340</v>
      </c>
      <c r="F507" s="125" t="str">
        <f>CHOOSE(MONTH(E507),"January","February","March","April","May","June","July","August","September","October","November","December")</f>
        <v>June</v>
      </c>
      <c r="G507" s="125">
        <f ca="1">DATEDIF(E507,TODAY(),"Y")</f>
        <v>17</v>
      </c>
      <c r="I507" s="220">
        <v>37016</v>
      </c>
      <c r="J507" s="219">
        <v>4</v>
      </c>
    </row>
    <row r="508" spans="1:10" x14ac:dyDescent="0.25">
      <c r="A508" s="222" t="s">
        <v>708</v>
      </c>
      <c r="B508" s="125" t="s">
        <v>245</v>
      </c>
      <c r="C508" s="125" t="s">
        <v>767</v>
      </c>
      <c r="D508" s="125" t="s">
        <v>247</v>
      </c>
      <c r="E508" s="221">
        <v>33167</v>
      </c>
      <c r="F508" s="125" t="str">
        <f>CHOOSE(MONTH(E508),"January","February","March","April","May","June","July","August","September","October","November","December")</f>
        <v>October</v>
      </c>
      <c r="G508" s="125">
        <f ca="1">DATEDIF(E508,TODAY(),"Y")</f>
        <v>26</v>
      </c>
      <c r="I508" s="220">
        <v>23020</v>
      </c>
      <c r="J508" s="219">
        <v>4</v>
      </c>
    </row>
    <row r="509" spans="1:10" x14ac:dyDescent="0.25">
      <c r="A509" s="222" t="s">
        <v>776</v>
      </c>
      <c r="B509" s="125" t="s">
        <v>251</v>
      </c>
      <c r="C509" s="125" t="s">
        <v>767</v>
      </c>
      <c r="D509" s="125" t="s">
        <v>256</v>
      </c>
      <c r="E509" s="221">
        <v>36136</v>
      </c>
      <c r="F509" s="125" t="str">
        <f>CHOOSE(MONTH(E509),"January","February","March","April","May","June","July","August","September","October","November","December")</f>
        <v>December</v>
      </c>
      <c r="G509" s="125">
        <f ca="1">DATEDIF(E509,TODAY(),"Y")</f>
        <v>17</v>
      </c>
      <c r="H509" s="125" t="s">
        <v>283</v>
      </c>
      <c r="I509" s="220">
        <v>45000</v>
      </c>
      <c r="J509" s="219">
        <v>4</v>
      </c>
    </row>
    <row r="510" spans="1:10" x14ac:dyDescent="0.25">
      <c r="A510" s="222" t="s">
        <v>726</v>
      </c>
      <c r="B510" s="125" t="s">
        <v>271</v>
      </c>
      <c r="C510" s="125" t="s">
        <v>767</v>
      </c>
      <c r="D510" s="125" t="s">
        <v>256</v>
      </c>
      <c r="E510" s="221">
        <v>34061</v>
      </c>
      <c r="F510" s="125" t="str">
        <f>CHOOSE(MONTH(E510),"January","February","March","April","May","June","July","August","September","October","November","December")</f>
        <v>April</v>
      </c>
      <c r="G510" s="125">
        <f ca="1">DATEDIF(E510,TODAY(),"Y")</f>
        <v>23</v>
      </c>
      <c r="H510" s="125" t="s">
        <v>257</v>
      </c>
      <c r="I510" s="220">
        <v>23320</v>
      </c>
      <c r="J510" s="219">
        <v>4</v>
      </c>
    </row>
    <row r="511" spans="1:10" x14ac:dyDescent="0.25">
      <c r="A511" s="222" t="s">
        <v>985</v>
      </c>
      <c r="B511" s="125" t="s">
        <v>245</v>
      </c>
      <c r="C511" s="125" t="s">
        <v>767</v>
      </c>
      <c r="D511" s="125" t="s">
        <v>247</v>
      </c>
      <c r="E511" s="221">
        <v>33638</v>
      </c>
      <c r="F511" s="125" t="str">
        <f>CHOOSE(MONTH(E511),"January","February","March","April","May","June","July","August","September","October","November","December")</f>
        <v>February</v>
      </c>
      <c r="G511" s="125">
        <f ca="1">DATEDIF(E511,TODAY(),"Y")</f>
        <v>24</v>
      </c>
      <c r="I511" s="220">
        <v>47590</v>
      </c>
      <c r="J511" s="219">
        <v>3</v>
      </c>
    </row>
    <row r="512" spans="1:10" x14ac:dyDescent="0.25">
      <c r="A512" s="222" t="s">
        <v>948</v>
      </c>
      <c r="B512" s="125" t="s">
        <v>271</v>
      </c>
      <c r="C512" s="125" t="s">
        <v>767</v>
      </c>
      <c r="D512" s="125" t="s">
        <v>256</v>
      </c>
      <c r="E512" s="221">
        <v>33526</v>
      </c>
      <c r="F512" s="125" t="str">
        <f>CHOOSE(MONTH(E512),"January","February","March","April","May","June","July","August","September","October","November","December")</f>
        <v>October</v>
      </c>
      <c r="G512" s="125">
        <f ca="1">DATEDIF(E512,TODAY(),"Y")</f>
        <v>25</v>
      </c>
      <c r="H512" s="125" t="s">
        <v>267</v>
      </c>
      <c r="I512" s="220">
        <v>79400</v>
      </c>
      <c r="J512" s="219">
        <v>4</v>
      </c>
    </row>
    <row r="513" spans="1:10" x14ac:dyDescent="0.25">
      <c r="A513" s="222" t="s">
        <v>557</v>
      </c>
      <c r="B513" s="125" t="s">
        <v>271</v>
      </c>
      <c r="C513" s="125" t="s">
        <v>767</v>
      </c>
      <c r="D513" s="125" t="s">
        <v>247</v>
      </c>
      <c r="E513" s="221">
        <v>33402</v>
      </c>
      <c r="F513" s="125" t="str">
        <f>CHOOSE(MONTH(E513),"January","February","March","April","May","June","July","August","September","October","November","December")</f>
        <v>June</v>
      </c>
      <c r="G513" s="125">
        <f ca="1">DATEDIF(E513,TODAY(),"Y")</f>
        <v>25</v>
      </c>
      <c r="I513" s="220">
        <v>79380</v>
      </c>
      <c r="J513" s="219">
        <v>1</v>
      </c>
    </row>
    <row r="514" spans="1:10" x14ac:dyDescent="0.25">
      <c r="A514" s="222" t="s">
        <v>596</v>
      </c>
      <c r="B514" s="125" t="s">
        <v>251</v>
      </c>
      <c r="C514" s="125" t="s">
        <v>767</v>
      </c>
      <c r="D514" s="125" t="s">
        <v>247</v>
      </c>
      <c r="E514" s="221">
        <v>35699</v>
      </c>
      <c r="F514" s="125" t="str">
        <f>CHOOSE(MONTH(E514),"January","February","March","April","May","June","July","August","September","October","November","December")</f>
        <v>September</v>
      </c>
      <c r="G514" s="125">
        <f ca="1">DATEDIF(E514,TODAY(),"Y")</f>
        <v>19</v>
      </c>
      <c r="I514" s="220">
        <v>36230</v>
      </c>
      <c r="J514" s="219">
        <v>2</v>
      </c>
    </row>
    <row r="515" spans="1:10" x14ac:dyDescent="0.25">
      <c r="A515" s="222" t="s">
        <v>609</v>
      </c>
      <c r="B515" s="125" t="s">
        <v>245</v>
      </c>
      <c r="C515" s="125" t="s">
        <v>767</v>
      </c>
      <c r="D515" s="125" t="s">
        <v>247</v>
      </c>
      <c r="E515" s="221">
        <v>33578</v>
      </c>
      <c r="F515" s="125" t="str">
        <f>CHOOSE(MONTH(E515),"January","February","March","April","May","June","July","August","September","October","November","December")</f>
        <v>December</v>
      </c>
      <c r="G515" s="125">
        <f ca="1">DATEDIF(E515,TODAY(),"Y")</f>
        <v>24</v>
      </c>
      <c r="I515" s="220">
        <v>50840</v>
      </c>
      <c r="J515" s="219">
        <v>4</v>
      </c>
    </row>
    <row r="516" spans="1:10" x14ac:dyDescent="0.25">
      <c r="A516" s="222" t="s">
        <v>449</v>
      </c>
      <c r="B516" s="125" t="s">
        <v>271</v>
      </c>
      <c r="C516" s="125" t="s">
        <v>767</v>
      </c>
      <c r="D516" s="125" t="s">
        <v>261</v>
      </c>
      <c r="E516" s="221">
        <v>40166</v>
      </c>
      <c r="F516" s="125" t="str">
        <f>CHOOSE(MONTH(E516),"January","February","March","April","May","June","July","August","September","October","November","December")</f>
        <v>December</v>
      </c>
      <c r="G516" s="125">
        <f ca="1">DATEDIF(E516,TODAY(),"Y")</f>
        <v>6</v>
      </c>
      <c r="H516" s="125" t="s">
        <v>276</v>
      </c>
      <c r="I516" s="220">
        <v>25245</v>
      </c>
      <c r="J516" s="219">
        <v>5</v>
      </c>
    </row>
    <row r="517" spans="1:10" x14ac:dyDescent="0.25">
      <c r="A517" s="222" t="s">
        <v>995</v>
      </c>
      <c r="B517" s="125" t="s">
        <v>245</v>
      </c>
      <c r="C517" s="125" t="s">
        <v>767</v>
      </c>
      <c r="D517" s="125" t="s">
        <v>247</v>
      </c>
      <c r="E517" s="221">
        <v>36086</v>
      </c>
      <c r="F517" s="125" t="str">
        <f>CHOOSE(MONTH(E517),"January","February","March","April","May","June","July","August","September","October","November","December")</f>
        <v>October</v>
      </c>
      <c r="G517" s="125">
        <f ca="1">DATEDIF(E517,TODAY(),"Y")</f>
        <v>18</v>
      </c>
      <c r="I517" s="220">
        <v>47520</v>
      </c>
      <c r="J517" s="219">
        <v>1</v>
      </c>
    </row>
    <row r="518" spans="1:10" x14ac:dyDescent="0.25">
      <c r="A518" s="222" t="s">
        <v>330</v>
      </c>
      <c r="B518" s="125" t="s">
        <v>285</v>
      </c>
      <c r="C518" s="125" t="s">
        <v>767</v>
      </c>
      <c r="D518" s="125" t="s">
        <v>256</v>
      </c>
      <c r="E518" s="221">
        <v>37701</v>
      </c>
      <c r="F518" s="125" t="str">
        <f>CHOOSE(MONTH(E518),"January","February","March","April","May","June","July","August","September","October","November","December")</f>
        <v>March</v>
      </c>
      <c r="G518" s="125">
        <f ca="1">DATEDIF(E518,TODAY(),"Y")</f>
        <v>13</v>
      </c>
      <c r="H518" s="125" t="s">
        <v>262</v>
      </c>
      <c r="I518" s="220">
        <v>23560</v>
      </c>
      <c r="J518" s="219">
        <v>3</v>
      </c>
    </row>
    <row r="519" spans="1:10" x14ac:dyDescent="0.25">
      <c r="A519" s="222" t="s">
        <v>584</v>
      </c>
      <c r="B519" s="125" t="s">
        <v>271</v>
      </c>
      <c r="C519" s="125" t="s">
        <v>767</v>
      </c>
      <c r="D519" s="125" t="s">
        <v>256</v>
      </c>
      <c r="E519" s="221">
        <v>33460</v>
      </c>
      <c r="F519" s="125" t="str">
        <f>CHOOSE(MONTH(E519),"January","February","March","April","May","June","July","August","September","October","November","December")</f>
        <v>August</v>
      </c>
      <c r="G519" s="125">
        <f ca="1">DATEDIF(E519,TODAY(),"Y")</f>
        <v>25</v>
      </c>
      <c r="H519" s="125" t="s">
        <v>267</v>
      </c>
      <c r="I519" s="220">
        <v>77740</v>
      </c>
      <c r="J519" s="219">
        <v>1</v>
      </c>
    </row>
    <row r="520" spans="1:10" x14ac:dyDescent="0.25">
      <c r="A520" s="222" t="s">
        <v>556</v>
      </c>
      <c r="B520" s="125" t="s">
        <v>280</v>
      </c>
      <c r="C520" s="125" t="s">
        <v>767</v>
      </c>
      <c r="D520" s="125" t="s">
        <v>256</v>
      </c>
      <c r="E520" s="221">
        <v>37848</v>
      </c>
      <c r="F520" s="125" t="str">
        <f>CHOOSE(MONTH(E520),"January","February","March","April","May","June","July","August","September","October","November","December")</f>
        <v>August</v>
      </c>
      <c r="G520" s="125">
        <f ca="1">DATEDIF(E520,TODAY(),"Y")</f>
        <v>13</v>
      </c>
      <c r="H520" s="125" t="s">
        <v>262</v>
      </c>
      <c r="I520" s="220">
        <v>76910</v>
      </c>
      <c r="J520" s="219">
        <v>2</v>
      </c>
    </row>
    <row r="521" spans="1:10" x14ac:dyDescent="0.25">
      <c r="A521" s="222" t="s">
        <v>976</v>
      </c>
      <c r="B521" s="125" t="s">
        <v>280</v>
      </c>
      <c r="C521" s="125" t="s">
        <v>767</v>
      </c>
      <c r="D521" s="125" t="s">
        <v>247</v>
      </c>
      <c r="E521" s="221">
        <v>34915</v>
      </c>
      <c r="F521" s="125" t="str">
        <f>CHOOSE(MONTH(E521),"January","February","March","April","May","June","July","August","September","October","November","December")</f>
        <v>August</v>
      </c>
      <c r="G521" s="125">
        <f ca="1">DATEDIF(E521,TODAY(),"Y")</f>
        <v>21</v>
      </c>
      <c r="I521" s="220">
        <v>76870</v>
      </c>
      <c r="J521" s="219">
        <v>5</v>
      </c>
    </row>
    <row r="522" spans="1:10" x14ac:dyDescent="0.25">
      <c r="A522" s="222" t="s">
        <v>780</v>
      </c>
      <c r="B522" s="125" t="s">
        <v>280</v>
      </c>
      <c r="C522" s="125" t="s">
        <v>767</v>
      </c>
      <c r="D522" s="125" t="s">
        <v>261</v>
      </c>
      <c r="E522" s="221">
        <v>36217</v>
      </c>
      <c r="F522" s="125" t="str">
        <f>CHOOSE(MONTH(E522),"January","February","March","April","May","June","July","August","September","October","November","December")</f>
        <v>February</v>
      </c>
      <c r="G522" s="125">
        <f ca="1">DATEDIF(E522,TODAY(),"Y")</f>
        <v>17</v>
      </c>
      <c r="H522" s="125" t="s">
        <v>283</v>
      </c>
      <c r="I522" s="220">
        <v>22475</v>
      </c>
      <c r="J522" s="219">
        <v>4</v>
      </c>
    </row>
    <row r="523" spans="1:10" x14ac:dyDescent="0.25">
      <c r="A523" s="222" t="s">
        <v>426</v>
      </c>
      <c r="B523" s="125" t="s">
        <v>285</v>
      </c>
      <c r="C523" s="125" t="s">
        <v>767</v>
      </c>
      <c r="D523" s="125" t="s">
        <v>256</v>
      </c>
      <c r="E523" s="221">
        <v>39446</v>
      </c>
      <c r="F523" s="125" t="str">
        <f>CHOOSE(MONTH(E523),"January","February","March","April","May","June","July","August","September","October","November","December")</f>
        <v>December</v>
      </c>
      <c r="G523" s="125">
        <f ca="1">DATEDIF(E523,TODAY(),"Y")</f>
        <v>8</v>
      </c>
      <c r="H523" s="125" t="s">
        <v>257</v>
      </c>
      <c r="I523" s="220">
        <v>44650</v>
      </c>
      <c r="J523" s="219">
        <v>1</v>
      </c>
    </row>
    <row r="524" spans="1:10" x14ac:dyDescent="0.25">
      <c r="A524" s="222" t="s">
        <v>548</v>
      </c>
      <c r="B524" s="125" t="s">
        <v>285</v>
      </c>
      <c r="C524" s="125" t="s">
        <v>767</v>
      </c>
      <c r="D524" s="125" t="s">
        <v>256</v>
      </c>
      <c r="E524" s="221">
        <v>33128</v>
      </c>
      <c r="F524" s="125" t="str">
        <f>CHOOSE(MONTH(E524),"January","February","March","April","May","June","July","August","September","October","November","December")</f>
        <v>September</v>
      </c>
      <c r="G524" s="125">
        <f ca="1">DATEDIF(E524,TODAY(),"Y")</f>
        <v>26</v>
      </c>
      <c r="H524" s="125" t="s">
        <v>267</v>
      </c>
      <c r="I524" s="220">
        <v>46110</v>
      </c>
      <c r="J524" s="219">
        <v>4</v>
      </c>
    </row>
    <row r="525" spans="1:10" x14ac:dyDescent="0.25">
      <c r="A525" s="222" t="s">
        <v>762</v>
      </c>
      <c r="B525" s="125" t="s">
        <v>285</v>
      </c>
      <c r="C525" s="125" t="s">
        <v>767</v>
      </c>
      <c r="D525" s="125" t="s">
        <v>256</v>
      </c>
      <c r="E525" s="221">
        <v>37568</v>
      </c>
      <c r="F525" s="125" t="str">
        <f>CHOOSE(MONTH(E525),"January","February","March","April","May","June","July","August","September","October","November","December")</f>
        <v>November</v>
      </c>
      <c r="G525" s="125">
        <f ca="1">DATEDIF(E525,TODAY(),"Y")</f>
        <v>14</v>
      </c>
      <c r="H525" s="125" t="s">
        <v>262</v>
      </c>
      <c r="I525" s="220">
        <v>45100</v>
      </c>
      <c r="J525" s="219">
        <v>2</v>
      </c>
    </row>
    <row r="526" spans="1:10" x14ac:dyDescent="0.25">
      <c r="A526" s="222" t="s">
        <v>820</v>
      </c>
      <c r="B526" s="125" t="s">
        <v>245</v>
      </c>
      <c r="C526" s="125" t="s">
        <v>767</v>
      </c>
      <c r="D526" s="125" t="s">
        <v>261</v>
      </c>
      <c r="E526" s="221">
        <v>33671</v>
      </c>
      <c r="F526" s="125" t="str">
        <f>CHOOSE(MONTH(E526),"January","February","March","April","May","June","July","August","September","October","November","December")</f>
        <v>March</v>
      </c>
      <c r="G526" s="125">
        <f ca="1">DATEDIF(E526,TODAY(),"Y")</f>
        <v>24</v>
      </c>
      <c r="H526" s="125" t="s">
        <v>257</v>
      </c>
      <c r="I526" s="220">
        <v>46380</v>
      </c>
      <c r="J526" s="219">
        <v>3</v>
      </c>
    </row>
    <row r="527" spans="1:10" x14ac:dyDescent="0.25">
      <c r="A527" s="222" t="s">
        <v>459</v>
      </c>
      <c r="B527" s="125" t="s">
        <v>266</v>
      </c>
      <c r="C527" s="125" t="s">
        <v>767</v>
      </c>
      <c r="D527" s="125" t="s">
        <v>256</v>
      </c>
      <c r="E527" s="221">
        <v>39217</v>
      </c>
      <c r="F527" s="125" t="str">
        <f>CHOOSE(MONTH(E527),"January","February","March","April","May","June","July","August","September","October","November","December")</f>
        <v>May</v>
      </c>
      <c r="G527" s="125">
        <f ca="1">DATEDIF(E527,TODAY(),"Y")</f>
        <v>9</v>
      </c>
      <c r="H527" s="125" t="s">
        <v>257</v>
      </c>
      <c r="I527" s="220">
        <v>73830</v>
      </c>
      <c r="J527" s="219">
        <v>2</v>
      </c>
    </row>
    <row r="528" spans="1:10" x14ac:dyDescent="0.25">
      <c r="A528" s="222" t="s">
        <v>534</v>
      </c>
      <c r="B528" s="125" t="s">
        <v>251</v>
      </c>
      <c r="C528" s="125" t="s">
        <v>767</v>
      </c>
      <c r="D528" s="125" t="s">
        <v>256</v>
      </c>
      <c r="E528" s="221">
        <v>35918</v>
      </c>
      <c r="F528" s="125" t="str">
        <f>CHOOSE(MONTH(E528),"January","February","March","April","May","June","July","August","September","October","November","December")</f>
        <v>May</v>
      </c>
      <c r="G528" s="125">
        <f ca="1">DATEDIF(E528,TODAY(),"Y")</f>
        <v>18</v>
      </c>
      <c r="H528" s="125" t="s">
        <v>262</v>
      </c>
      <c r="I528" s="220">
        <v>73740</v>
      </c>
      <c r="J528" s="219">
        <v>4</v>
      </c>
    </row>
    <row r="529" spans="1:10" x14ac:dyDescent="0.25">
      <c r="A529" s="222" t="s">
        <v>670</v>
      </c>
      <c r="B529" s="125" t="s">
        <v>285</v>
      </c>
      <c r="C529" s="125" t="s">
        <v>767</v>
      </c>
      <c r="D529" s="125" t="s">
        <v>247</v>
      </c>
      <c r="E529" s="221">
        <v>35146</v>
      </c>
      <c r="F529" s="125" t="str">
        <f>CHOOSE(MONTH(E529),"January","February","March","April","May","June","July","August","September","October","November","December")</f>
        <v>March</v>
      </c>
      <c r="G529" s="125">
        <f ca="1">DATEDIF(E529,TODAY(),"Y")</f>
        <v>20</v>
      </c>
      <c r="I529" s="220">
        <v>73190</v>
      </c>
      <c r="J529" s="219">
        <v>1</v>
      </c>
    </row>
    <row r="530" spans="1:10" x14ac:dyDescent="0.25">
      <c r="A530" s="222" t="s">
        <v>715</v>
      </c>
      <c r="B530" s="125" t="s">
        <v>245</v>
      </c>
      <c r="C530" s="125" t="s">
        <v>767</v>
      </c>
      <c r="D530" s="125" t="s">
        <v>256</v>
      </c>
      <c r="E530" s="221">
        <v>35286</v>
      </c>
      <c r="F530" s="125" t="str">
        <f>CHOOSE(MONTH(E530),"January","February","March","April","May","June","July","August","September","October","November","December")</f>
        <v>August</v>
      </c>
      <c r="G530" s="125">
        <f ca="1">DATEDIF(E530,TODAY(),"Y")</f>
        <v>20</v>
      </c>
      <c r="H530" s="125" t="s">
        <v>262</v>
      </c>
      <c r="I530" s="220">
        <v>72700</v>
      </c>
      <c r="J530" s="219">
        <v>5</v>
      </c>
    </row>
    <row r="531" spans="1:10" x14ac:dyDescent="0.25">
      <c r="A531" s="222" t="s">
        <v>965</v>
      </c>
      <c r="B531" s="125" t="s">
        <v>285</v>
      </c>
      <c r="C531" s="125" t="s">
        <v>767</v>
      </c>
      <c r="D531" s="125" t="s">
        <v>256</v>
      </c>
      <c r="E531" s="221">
        <v>35169</v>
      </c>
      <c r="F531" s="125" t="str">
        <f>CHOOSE(MONTH(E531),"January","February","March","April","May","June","July","August","September","October","November","December")</f>
        <v>April</v>
      </c>
      <c r="G531" s="125">
        <f ca="1">DATEDIF(E531,TODAY(),"Y")</f>
        <v>20</v>
      </c>
      <c r="H531" s="125" t="s">
        <v>276</v>
      </c>
      <c r="I531" s="220">
        <v>72640</v>
      </c>
      <c r="J531" s="219">
        <v>3</v>
      </c>
    </row>
    <row r="532" spans="1:10" x14ac:dyDescent="0.25">
      <c r="A532" s="222" t="s">
        <v>933</v>
      </c>
      <c r="B532" s="125" t="s">
        <v>285</v>
      </c>
      <c r="C532" s="125" t="s">
        <v>767</v>
      </c>
      <c r="D532" s="125" t="s">
        <v>256</v>
      </c>
      <c r="E532" s="221">
        <v>33573</v>
      </c>
      <c r="F532" s="125" t="str">
        <f>CHOOSE(MONTH(E532),"January","February","March","April","May","June","July","August","September","October","November","December")</f>
        <v>December</v>
      </c>
      <c r="G532" s="125">
        <f ca="1">DATEDIF(E532,TODAY(),"Y")</f>
        <v>24</v>
      </c>
      <c r="H532" s="125" t="s">
        <v>276</v>
      </c>
      <c r="I532" s="220">
        <v>71680</v>
      </c>
      <c r="J532" s="219">
        <v>4</v>
      </c>
    </row>
    <row r="533" spans="1:10" x14ac:dyDescent="0.25">
      <c r="A533" s="222" t="s">
        <v>497</v>
      </c>
      <c r="B533" s="125" t="s">
        <v>266</v>
      </c>
      <c r="C533" s="125" t="s">
        <v>767</v>
      </c>
      <c r="D533" s="125" t="s">
        <v>247</v>
      </c>
      <c r="E533" s="221">
        <v>36375</v>
      </c>
      <c r="F533" s="125" t="str">
        <f>CHOOSE(MONTH(E533),"January","February","March","April","May","June","July","August","September","October","November","December")</f>
        <v>August</v>
      </c>
      <c r="G533" s="125">
        <f ca="1">DATEDIF(E533,TODAY(),"Y")</f>
        <v>17</v>
      </c>
      <c r="I533" s="220">
        <v>71300</v>
      </c>
      <c r="J533" s="219">
        <v>5</v>
      </c>
    </row>
    <row r="534" spans="1:10" x14ac:dyDescent="0.25">
      <c r="A534" s="222" t="s">
        <v>1021</v>
      </c>
      <c r="B534" s="125" t="s">
        <v>245</v>
      </c>
      <c r="C534" s="125" t="s">
        <v>767</v>
      </c>
      <c r="D534" s="125" t="s">
        <v>252</v>
      </c>
      <c r="E534" s="221">
        <v>35946</v>
      </c>
      <c r="F534" s="125" t="str">
        <f>CHOOSE(MONTH(E534),"January","February","March","April","May","June","July","August","September","October","November","December")</f>
        <v>May</v>
      </c>
      <c r="G534" s="125">
        <f ca="1">DATEDIF(E534,TODAY(),"Y")</f>
        <v>18</v>
      </c>
      <c r="I534" s="220">
        <v>14332</v>
      </c>
      <c r="J534" s="219">
        <v>5</v>
      </c>
    </row>
    <row r="535" spans="1:10" x14ac:dyDescent="0.25">
      <c r="A535" s="222" t="s">
        <v>757</v>
      </c>
      <c r="B535" s="125" t="s">
        <v>280</v>
      </c>
      <c r="C535" s="125" t="s">
        <v>767</v>
      </c>
      <c r="D535" s="125" t="s">
        <v>261</v>
      </c>
      <c r="E535" s="221">
        <v>39728</v>
      </c>
      <c r="F535" s="125" t="str">
        <f>CHOOSE(MONTH(E535),"January","February","March","April","May","June","July","August","September","October","November","December")</f>
        <v>October</v>
      </c>
      <c r="G535" s="125">
        <f ca="1">DATEDIF(E535,TODAY(),"Y")</f>
        <v>8</v>
      </c>
      <c r="H535" s="125" t="s">
        <v>257</v>
      </c>
      <c r="I535" s="220">
        <v>45565</v>
      </c>
      <c r="J535" s="219">
        <v>1</v>
      </c>
    </row>
    <row r="536" spans="1:10" x14ac:dyDescent="0.25">
      <c r="A536" s="222" t="s">
        <v>430</v>
      </c>
      <c r="B536" s="125" t="s">
        <v>271</v>
      </c>
      <c r="C536" s="125" t="s">
        <v>767</v>
      </c>
      <c r="D536" s="125" t="s">
        <v>256</v>
      </c>
      <c r="E536" s="221">
        <v>34169</v>
      </c>
      <c r="F536" s="125" t="str">
        <f>CHOOSE(MONTH(E536),"January","February","March","April","May","June","July","August","September","October","November","December")</f>
        <v>July</v>
      </c>
      <c r="G536" s="125">
        <f ca="1">DATEDIF(E536,TODAY(),"Y")</f>
        <v>23</v>
      </c>
      <c r="H536" s="125" t="s">
        <v>267</v>
      </c>
      <c r="I536" s="220">
        <v>69420</v>
      </c>
      <c r="J536" s="219">
        <v>2</v>
      </c>
    </row>
    <row r="537" spans="1:10" x14ac:dyDescent="0.25">
      <c r="A537" s="222" t="s">
        <v>990</v>
      </c>
      <c r="B537" s="125" t="s">
        <v>285</v>
      </c>
      <c r="C537" s="125" t="s">
        <v>767</v>
      </c>
      <c r="D537" s="125" t="s">
        <v>261</v>
      </c>
      <c r="E537" s="221">
        <v>38173</v>
      </c>
      <c r="F537" s="125" t="str">
        <f>CHOOSE(MONTH(E537),"January","February","March","April","May","June","July","August","September","October","November","December")</f>
        <v>July</v>
      </c>
      <c r="G537" s="125">
        <f ca="1">DATEDIF(E537,TODAY(),"Y")</f>
        <v>12</v>
      </c>
      <c r="H537" s="125" t="s">
        <v>283</v>
      </c>
      <c r="I537" s="220">
        <v>32900</v>
      </c>
      <c r="J537" s="219">
        <v>2</v>
      </c>
    </row>
    <row r="538" spans="1:10" x14ac:dyDescent="0.25">
      <c r="A538" s="222" t="s">
        <v>578</v>
      </c>
      <c r="B538" s="125" t="s">
        <v>271</v>
      </c>
      <c r="C538" s="125" t="s">
        <v>767</v>
      </c>
      <c r="D538" s="125" t="s">
        <v>256</v>
      </c>
      <c r="E538" s="221">
        <v>36393</v>
      </c>
      <c r="F538" s="125" t="str">
        <f>CHOOSE(MONTH(E538),"January","February","March","April","May","June","July","August","September","October","November","December")</f>
        <v>August</v>
      </c>
      <c r="G538" s="125">
        <f ca="1">DATEDIF(E538,TODAY(),"Y")</f>
        <v>17</v>
      </c>
      <c r="H538" s="125" t="s">
        <v>283</v>
      </c>
      <c r="I538" s="220">
        <v>65910</v>
      </c>
      <c r="J538" s="219">
        <v>5</v>
      </c>
    </row>
    <row r="539" spans="1:10" x14ac:dyDescent="0.25">
      <c r="A539" s="222" t="s">
        <v>287</v>
      </c>
      <c r="B539" s="125" t="s">
        <v>271</v>
      </c>
      <c r="C539" s="125" t="s">
        <v>767</v>
      </c>
      <c r="D539" s="125" t="s">
        <v>256</v>
      </c>
      <c r="E539" s="221">
        <v>39047</v>
      </c>
      <c r="F539" s="125" t="str">
        <f>CHOOSE(MONTH(E539),"January","February","March","April","May","June","July","August","September","October","November","December")</f>
        <v>November</v>
      </c>
      <c r="G539" s="125">
        <f ca="1">DATEDIF(E539,TODAY(),"Y")</f>
        <v>9</v>
      </c>
      <c r="H539" s="125" t="s">
        <v>283</v>
      </c>
      <c r="I539" s="220">
        <v>65880</v>
      </c>
      <c r="J539" s="219">
        <v>5</v>
      </c>
    </row>
    <row r="540" spans="1:10" x14ac:dyDescent="0.25">
      <c r="A540" s="222" t="s">
        <v>546</v>
      </c>
      <c r="B540" s="125" t="s">
        <v>271</v>
      </c>
      <c r="C540" s="125" t="s">
        <v>767</v>
      </c>
      <c r="D540" s="125" t="s">
        <v>247</v>
      </c>
      <c r="E540" s="221">
        <v>33949</v>
      </c>
      <c r="F540" s="125" t="str">
        <f>CHOOSE(MONTH(E540),"January","February","March","April","May","June","July","August","September","October","November","December")</f>
        <v>December</v>
      </c>
      <c r="G540" s="125">
        <f ca="1">DATEDIF(E540,TODAY(),"Y")</f>
        <v>23</v>
      </c>
      <c r="I540" s="220">
        <v>44720</v>
      </c>
      <c r="J540" s="219">
        <v>2</v>
      </c>
    </row>
    <row r="541" spans="1:10" x14ac:dyDescent="0.25">
      <c r="A541" s="222" t="s">
        <v>875</v>
      </c>
      <c r="B541" s="125" t="s">
        <v>245</v>
      </c>
      <c r="C541" s="125" t="s">
        <v>767</v>
      </c>
      <c r="D541" s="125" t="s">
        <v>256</v>
      </c>
      <c r="E541" s="221">
        <v>34989</v>
      </c>
      <c r="F541" s="125" t="str">
        <f>CHOOSE(MONTH(E541),"January","February","March","April","May","June","July","August","September","October","November","December")</f>
        <v>October</v>
      </c>
      <c r="G541" s="125">
        <f ca="1">DATEDIF(E541,TODAY(),"Y")</f>
        <v>21</v>
      </c>
      <c r="H541" s="125" t="s">
        <v>257</v>
      </c>
      <c r="I541" s="220">
        <v>50570</v>
      </c>
      <c r="J541" s="219">
        <v>4</v>
      </c>
    </row>
    <row r="542" spans="1:10" x14ac:dyDescent="0.25">
      <c r="A542" s="222" t="s">
        <v>974</v>
      </c>
      <c r="B542" s="125" t="s">
        <v>266</v>
      </c>
      <c r="C542" s="125" t="s">
        <v>767</v>
      </c>
      <c r="D542" s="125" t="s">
        <v>261</v>
      </c>
      <c r="E542" s="221">
        <v>40293</v>
      </c>
      <c r="F542" s="125" t="str">
        <f>CHOOSE(MONTH(E542),"January","February","March","April","May","June","July","August","September","October","November","December")</f>
        <v>April</v>
      </c>
      <c r="G542" s="125">
        <f ca="1">DATEDIF(E542,TODAY(),"Y")</f>
        <v>6</v>
      </c>
      <c r="H542" s="125" t="s">
        <v>257</v>
      </c>
      <c r="I542" s="220">
        <v>11810</v>
      </c>
      <c r="J542" s="219">
        <v>1</v>
      </c>
    </row>
    <row r="543" spans="1:10" x14ac:dyDescent="0.25">
      <c r="A543" s="222" t="s">
        <v>1032</v>
      </c>
      <c r="B543" s="125" t="s">
        <v>285</v>
      </c>
      <c r="C543" s="125" t="s">
        <v>767</v>
      </c>
      <c r="D543" s="125" t="s">
        <v>256</v>
      </c>
      <c r="E543" s="221">
        <v>39864</v>
      </c>
      <c r="F543" s="125" t="str">
        <f>CHOOSE(MONTH(E543),"January","February","March","April","May","June","July","August","September","October","November","December")</f>
        <v>February</v>
      </c>
      <c r="G543" s="125">
        <f ca="1">DATEDIF(E543,TODAY(),"Y")</f>
        <v>7</v>
      </c>
      <c r="H543" s="125" t="s">
        <v>257</v>
      </c>
      <c r="I543" s="220">
        <v>64320</v>
      </c>
      <c r="J543" s="219">
        <v>5</v>
      </c>
    </row>
    <row r="544" spans="1:10" x14ac:dyDescent="0.25">
      <c r="A544" s="222" t="s">
        <v>362</v>
      </c>
      <c r="B544" s="125" t="s">
        <v>271</v>
      </c>
      <c r="C544" s="125" t="s">
        <v>767</v>
      </c>
      <c r="D544" s="125" t="s">
        <v>247</v>
      </c>
      <c r="E544" s="221">
        <v>40404</v>
      </c>
      <c r="F544" s="125" t="str">
        <f>CHOOSE(MONTH(E544),"January","February","March","April","May","June","July","August","September","October","November","December")</f>
        <v>August</v>
      </c>
      <c r="G544" s="125">
        <f ca="1">DATEDIF(E544,TODAY(),"Y")</f>
        <v>6</v>
      </c>
      <c r="I544" s="220">
        <v>39550</v>
      </c>
      <c r="J544" s="219">
        <v>5</v>
      </c>
    </row>
    <row r="545" spans="1:10" x14ac:dyDescent="0.25">
      <c r="A545" s="222" t="s">
        <v>739</v>
      </c>
      <c r="B545" s="125" t="s">
        <v>285</v>
      </c>
      <c r="C545" s="125" t="s">
        <v>767</v>
      </c>
      <c r="D545" s="125" t="s">
        <v>256</v>
      </c>
      <c r="E545" s="221">
        <v>34149</v>
      </c>
      <c r="F545" s="125" t="str">
        <f>CHOOSE(MONTH(E545),"January","February","March","April","May","June","July","August","September","October","November","December")</f>
        <v>June</v>
      </c>
      <c r="G545" s="125">
        <f ca="1">DATEDIF(E545,TODAY(),"Y")</f>
        <v>23</v>
      </c>
      <c r="H545" s="125" t="s">
        <v>276</v>
      </c>
      <c r="I545" s="220">
        <v>63440</v>
      </c>
      <c r="J545" s="219">
        <v>3</v>
      </c>
    </row>
    <row r="546" spans="1:10" x14ac:dyDescent="0.25">
      <c r="A546" s="222" t="s">
        <v>434</v>
      </c>
      <c r="B546" s="125" t="s">
        <v>285</v>
      </c>
      <c r="C546" s="125" t="s">
        <v>767</v>
      </c>
      <c r="D546" s="125" t="s">
        <v>256</v>
      </c>
      <c r="E546" s="221">
        <v>35528</v>
      </c>
      <c r="F546" s="125" t="str">
        <f>CHOOSE(MONTH(E546),"January","February","March","April","May","June","July","August","September","October","November","December")</f>
        <v>April</v>
      </c>
      <c r="G546" s="125">
        <f ca="1">DATEDIF(E546,TODAY(),"Y")</f>
        <v>19</v>
      </c>
      <c r="H546" s="125" t="s">
        <v>257</v>
      </c>
      <c r="I546" s="220">
        <v>63270</v>
      </c>
      <c r="J546" s="219">
        <v>1</v>
      </c>
    </row>
    <row r="547" spans="1:10" x14ac:dyDescent="0.25">
      <c r="A547" s="222" t="s">
        <v>642</v>
      </c>
      <c r="B547" s="125" t="s">
        <v>285</v>
      </c>
      <c r="C547" s="125" t="s">
        <v>767</v>
      </c>
      <c r="D547" s="125" t="s">
        <v>256</v>
      </c>
      <c r="E547" s="221">
        <v>40477</v>
      </c>
      <c r="F547" s="125" t="str">
        <f>CHOOSE(MONTH(E547),"January","February","March","April","May","June","July","August","September","October","November","December")</f>
        <v>October</v>
      </c>
      <c r="G547" s="125">
        <f ca="1">DATEDIF(E547,TODAY(),"Y")</f>
        <v>6</v>
      </c>
      <c r="H547" s="125" t="s">
        <v>267</v>
      </c>
      <c r="I547" s="220">
        <v>63206</v>
      </c>
      <c r="J547" s="219">
        <v>1</v>
      </c>
    </row>
    <row r="548" spans="1:10" x14ac:dyDescent="0.25">
      <c r="A548" s="222" t="s">
        <v>913</v>
      </c>
      <c r="B548" s="125" t="s">
        <v>271</v>
      </c>
      <c r="C548" s="125" t="s">
        <v>767</v>
      </c>
      <c r="D548" s="125" t="s">
        <v>256</v>
      </c>
      <c r="E548" s="221">
        <v>33361</v>
      </c>
      <c r="F548" s="125" t="str">
        <f>CHOOSE(MONTH(E548),"January","February","March","April","May","June","July","August","September","October","November","December")</f>
        <v>May</v>
      </c>
      <c r="G548" s="125">
        <f ca="1">DATEDIF(E548,TODAY(),"Y")</f>
        <v>25</v>
      </c>
      <c r="H548" s="125" t="s">
        <v>257</v>
      </c>
      <c r="I548" s="220">
        <v>24090</v>
      </c>
      <c r="J548" s="219">
        <v>4</v>
      </c>
    </row>
    <row r="549" spans="1:10" x14ac:dyDescent="0.25">
      <c r="A549" s="222" t="s">
        <v>832</v>
      </c>
      <c r="B549" s="125" t="s">
        <v>245</v>
      </c>
      <c r="C549" s="125" t="s">
        <v>767</v>
      </c>
      <c r="D549" s="125" t="s">
        <v>261</v>
      </c>
      <c r="E549" s="221">
        <v>34793</v>
      </c>
      <c r="F549" s="125" t="str">
        <f>CHOOSE(MONTH(E549),"January","February","March","April","May","June","July","August","September","October","November","December")</f>
        <v>April</v>
      </c>
      <c r="G549" s="125">
        <f ca="1">DATEDIF(E549,TODAY(),"Y")</f>
        <v>21</v>
      </c>
      <c r="H549" s="125" t="s">
        <v>283</v>
      </c>
      <c r="I549" s="220">
        <v>10700</v>
      </c>
      <c r="J549" s="219">
        <v>4</v>
      </c>
    </row>
    <row r="550" spans="1:10" x14ac:dyDescent="0.25">
      <c r="A550" s="222" t="s">
        <v>607</v>
      </c>
      <c r="B550" s="125" t="s">
        <v>271</v>
      </c>
      <c r="C550" s="125" t="s">
        <v>767</v>
      </c>
      <c r="D550" s="125" t="s">
        <v>261</v>
      </c>
      <c r="E550" s="221">
        <v>37249</v>
      </c>
      <c r="F550" s="125" t="str">
        <f>CHOOSE(MONTH(E550),"January","February","March","April","May","June","July","August","September","October","November","December")</f>
        <v>December</v>
      </c>
      <c r="G550" s="125">
        <f ca="1">DATEDIF(E550,TODAY(),"Y")</f>
        <v>14</v>
      </c>
      <c r="H550" s="125" t="s">
        <v>276</v>
      </c>
      <c r="I550" s="220">
        <v>12545</v>
      </c>
      <c r="J550" s="219">
        <v>4</v>
      </c>
    </row>
    <row r="551" spans="1:10" x14ac:dyDescent="0.25">
      <c r="A551" s="222" t="s">
        <v>437</v>
      </c>
      <c r="B551" s="125" t="s">
        <v>271</v>
      </c>
      <c r="C551" s="125" t="s">
        <v>767</v>
      </c>
      <c r="D551" s="125" t="s">
        <v>256</v>
      </c>
      <c r="E551" s="221">
        <v>35990</v>
      </c>
      <c r="F551" s="125" t="str">
        <f>CHOOSE(MONTH(E551),"January","February","March","April","May","June","July","August","September","October","November","December")</f>
        <v>July</v>
      </c>
      <c r="G551" s="125">
        <f ca="1">DATEDIF(E551,TODAY(),"Y")</f>
        <v>18</v>
      </c>
      <c r="H551" s="125" t="s">
        <v>276</v>
      </c>
      <c r="I551" s="220">
        <v>36890</v>
      </c>
      <c r="J551" s="219">
        <v>1</v>
      </c>
    </row>
    <row r="552" spans="1:10" x14ac:dyDescent="0.25">
      <c r="A552" s="222" t="s">
        <v>447</v>
      </c>
      <c r="B552" s="125" t="s">
        <v>266</v>
      </c>
      <c r="C552" s="125" t="s">
        <v>767</v>
      </c>
      <c r="D552" s="125" t="s">
        <v>256</v>
      </c>
      <c r="E552" s="221">
        <v>38790</v>
      </c>
      <c r="F552" s="125" t="str">
        <f>CHOOSE(MONTH(E552),"January","February","March","April","May","June","July","August","September","October","November","December")</f>
        <v>March</v>
      </c>
      <c r="G552" s="125">
        <f ca="1">DATEDIF(E552,TODAY(),"Y")</f>
        <v>10</v>
      </c>
      <c r="H552" s="125" t="s">
        <v>262</v>
      </c>
      <c r="I552" s="220">
        <v>62688</v>
      </c>
      <c r="J552" s="219">
        <v>3</v>
      </c>
    </row>
    <row r="553" spans="1:10" x14ac:dyDescent="0.25">
      <c r="A553" s="222" t="s">
        <v>1026</v>
      </c>
      <c r="B553" s="125" t="s">
        <v>245</v>
      </c>
      <c r="C553" s="125" t="s">
        <v>767</v>
      </c>
      <c r="D553" s="125" t="s">
        <v>247</v>
      </c>
      <c r="E553" s="221">
        <v>35541</v>
      </c>
      <c r="F553" s="125" t="str">
        <f>CHOOSE(MONTH(E553),"January","February","March","April","May","June","July","August","September","October","November","December")</f>
        <v>April</v>
      </c>
      <c r="G553" s="125">
        <f ca="1">DATEDIF(E553,TODAY(),"Y")</f>
        <v>19</v>
      </c>
      <c r="I553" s="220">
        <v>49530</v>
      </c>
      <c r="J553" s="219">
        <v>4</v>
      </c>
    </row>
    <row r="554" spans="1:10" x14ac:dyDescent="0.25">
      <c r="A554" s="222" t="s">
        <v>305</v>
      </c>
      <c r="B554" s="125" t="s">
        <v>271</v>
      </c>
      <c r="C554" s="125" t="s">
        <v>767</v>
      </c>
      <c r="D554" s="125" t="s">
        <v>256</v>
      </c>
      <c r="E554" s="221">
        <v>34222</v>
      </c>
      <c r="F554" s="125" t="str">
        <f>CHOOSE(MONTH(E554),"January","February","March","April","May","June","July","August","September","October","November","December")</f>
        <v>September</v>
      </c>
      <c r="G554" s="125">
        <f ca="1">DATEDIF(E554,TODAY(),"Y")</f>
        <v>23</v>
      </c>
      <c r="H554" s="125" t="s">
        <v>257</v>
      </c>
      <c r="I554" s="220">
        <v>62688</v>
      </c>
      <c r="J554" s="219">
        <v>2</v>
      </c>
    </row>
    <row r="555" spans="1:10" x14ac:dyDescent="0.25">
      <c r="A555" s="222" t="s">
        <v>369</v>
      </c>
      <c r="B555" s="125" t="s">
        <v>271</v>
      </c>
      <c r="C555" s="125" t="s">
        <v>767</v>
      </c>
      <c r="D555" s="125" t="s">
        <v>256</v>
      </c>
      <c r="E555" s="221">
        <v>36536</v>
      </c>
      <c r="F555" s="125" t="str">
        <f>CHOOSE(MONTH(E555),"January","February","March","April","May","June","July","August","September","October","November","December")</f>
        <v>January</v>
      </c>
      <c r="G555" s="125">
        <f ca="1">DATEDIF(E555,TODAY(),"Y")</f>
        <v>16</v>
      </c>
      <c r="H555" s="125" t="s">
        <v>257</v>
      </c>
      <c r="I555" s="220">
        <v>62400</v>
      </c>
      <c r="J555" s="219">
        <v>4</v>
      </c>
    </row>
    <row r="556" spans="1:10" x14ac:dyDescent="0.25">
      <c r="A556" s="222" t="s">
        <v>786</v>
      </c>
      <c r="B556" s="125" t="s">
        <v>285</v>
      </c>
      <c r="C556" s="125" t="s">
        <v>767</v>
      </c>
      <c r="D556" s="125" t="s">
        <v>247</v>
      </c>
      <c r="E556" s="221">
        <v>37526</v>
      </c>
      <c r="F556" s="125" t="str">
        <f>CHOOSE(MONTH(E556),"January","February","March","April","May","June","July","August","September","October","November","December")</f>
        <v>September</v>
      </c>
      <c r="G556" s="125">
        <f ca="1">DATEDIF(E556,TODAY(),"Y")</f>
        <v>14</v>
      </c>
      <c r="I556" s="220">
        <v>61580</v>
      </c>
      <c r="J556" s="219">
        <v>3</v>
      </c>
    </row>
    <row r="557" spans="1:10" x14ac:dyDescent="0.25">
      <c r="A557" s="222" t="s">
        <v>744</v>
      </c>
      <c r="B557" s="125" t="s">
        <v>285</v>
      </c>
      <c r="C557" s="125" t="s">
        <v>767</v>
      </c>
      <c r="D557" s="125" t="s">
        <v>256</v>
      </c>
      <c r="E557" s="221">
        <v>35693</v>
      </c>
      <c r="F557" s="125" t="str">
        <f>CHOOSE(MONTH(E557),"January","February","March","April","May","June","July","August","September","October","November","December")</f>
        <v>September</v>
      </c>
      <c r="G557" s="125">
        <f ca="1">DATEDIF(E557,TODAY(),"Y")</f>
        <v>19</v>
      </c>
      <c r="H557" s="125" t="s">
        <v>262</v>
      </c>
      <c r="I557" s="220">
        <v>24340</v>
      </c>
      <c r="J557" s="219">
        <v>4</v>
      </c>
    </row>
    <row r="558" spans="1:10" x14ac:dyDescent="0.25">
      <c r="A558" s="222" t="s">
        <v>763</v>
      </c>
      <c r="B558" s="125" t="s">
        <v>285</v>
      </c>
      <c r="C558" s="125" t="s">
        <v>767</v>
      </c>
      <c r="D558" s="125" t="s">
        <v>256</v>
      </c>
      <c r="E558" s="221">
        <v>35958</v>
      </c>
      <c r="F558" s="125" t="str">
        <f>CHOOSE(MONTH(E558),"January","February","March","April","May","June","July","August","September","October","November","December")</f>
        <v>June</v>
      </c>
      <c r="G558" s="125">
        <f ca="1">DATEDIF(E558,TODAY(),"Y")</f>
        <v>18</v>
      </c>
      <c r="H558" s="125" t="s">
        <v>283</v>
      </c>
      <c r="I558" s="220">
        <v>61420</v>
      </c>
      <c r="J558" s="219">
        <v>4</v>
      </c>
    </row>
    <row r="559" spans="1:10" x14ac:dyDescent="0.25">
      <c r="A559" s="222" t="s">
        <v>696</v>
      </c>
      <c r="B559" s="125" t="s">
        <v>266</v>
      </c>
      <c r="C559" s="125" t="s">
        <v>767</v>
      </c>
      <c r="D559" s="125" t="s">
        <v>256</v>
      </c>
      <c r="E559" s="221">
        <v>38423</v>
      </c>
      <c r="F559" s="125" t="str">
        <f>CHOOSE(MONTH(E559),"January","February","March","April","May","June","July","August","September","October","November","December")</f>
        <v>March</v>
      </c>
      <c r="G559" s="125">
        <f ca="1">DATEDIF(E559,TODAY(),"Y")</f>
        <v>11</v>
      </c>
      <c r="H559" s="125" t="s">
        <v>276</v>
      </c>
      <c r="I559" s="220">
        <v>61330</v>
      </c>
      <c r="J559" s="219">
        <v>2</v>
      </c>
    </row>
    <row r="560" spans="1:10" x14ac:dyDescent="0.25">
      <c r="A560" s="222" t="s">
        <v>880</v>
      </c>
      <c r="B560" s="125" t="s">
        <v>245</v>
      </c>
      <c r="C560" s="125" t="s">
        <v>767</v>
      </c>
      <c r="D560" s="125" t="s">
        <v>256</v>
      </c>
      <c r="E560" s="221">
        <v>35094</v>
      </c>
      <c r="F560" s="125" t="str">
        <f>CHOOSE(MONTH(E560),"January","February","March","April","May","June","July","August","September","October","November","December")</f>
        <v>January</v>
      </c>
      <c r="G560" s="125">
        <f ca="1">DATEDIF(E560,TODAY(),"Y")</f>
        <v>20</v>
      </c>
      <c r="H560" s="125" t="s">
        <v>262</v>
      </c>
      <c r="I560" s="220">
        <v>61148</v>
      </c>
      <c r="J560" s="219">
        <v>2</v>
      </c>
    </row>
    <row r="561" spans="1:10" x14ac:dyDescent="0.25">
      <c r="A561" s="222" t="s">
        <v>795</v>
      </c>
      <c r="B561" s="125" t="s">
        <v>245</v>
      </c>
      <c r="C561" s="125" t="s">
        <v>767</v>
      </c>
      <c r="D561" s="125" t="s">
        <v>247</v>
      </c>
      <c r="E561" s="221">
        <v>33658</v>
      </c>
      <c r="F561" s="125" t="str">
        <f>CHOOSE(MONTH(E561),"January","February","March","April","May","June","July","August","September","October","November","December")</f>
        <v>February</v>
      </c>
      <c r="G561" s="125">
        <f ca="1">DATEDIF(E561,TODAY(),"Y")</f>
        <v>24</v>
      </c>
      <c r="I561" s="220">
        <v>60550</v>
      </c>
      <c r="J561" s="219">
        <v>2</v>
      </c>
    </row>
    <row r="562" spans="1:10" x14ac:dyDescent="0.25">
      <c r="A562" s="222" t="s">
        <v>841</v>
      </c>
      <c r="B562" s="125" t="s">
        <v>251</v>
      </c>
      <c r="C562" s="125" t="s">
        <v>767</v>
      </c>
      <c r="D562" s="125" t="s">
        <v>261</v>
      </c>
      <c r="E562" s="221">
        <v>40254</v>
      </c>
      <c r="F562" s="125" t="str">
        <f>CHOOSE(MONTH(E562),"January","February","March","April","May","June","July","August","September","October","November","December")</f>
        <v>March</v>
      </c>
      <c r="G562" s="125">
        <f ca="1">DATEDIF(E562,TODAY(),"Y")</f>
        <v>6</v>
      </c>
      <c r="H562" s="125" t="s">
        <v>283</v>
      </c>
      <c r="I562" s="220">
        <v>48700</v>
      </c>
      <c r="J562" s="219">
        <v>3</v>
      </c>
    </row>
    <row r="563" spans="1:10" x14ac:dyDescent="0.25">
      <c r="A563" s="222" t="s">
        <v>713</v>
      </c>
      <c r="B563" s="125" t="s">
        <v>285</v>
      </c>
      <c r="C563" s="125" t="s">
        <v>767</v>
      </c>
      <c r="D563" s="125" t="s">
        <v>247</v>
      </c>
      <c r="E563" s="221">
        <v>35301</v>
      </c>
      <c r="F563" s="125" t="str">
        <f>CHOOSE(MONTH(E563),"January","February","March","April","May","June","July","August","September","October","November","December")</f>
        <v>August</v>
      </c>
      <c r="G563" s="125">
        <f ca="1">DATEDIF(E563,TODAY(),"Y")</f>
        <v>20</v>
      </c>
      <c r="I563" s="220">
        <v>60070</v>
      </c>
      <c r="J563" s="219">
        <v>2</v>
      </c>
    </row>
    <row r="564" spans="1:10" x14ac:dyDescent="0.25">
      <c r="A564" s="222" t="s">
        <v>793</v>
      </c>
      <c r="B564" s="125" t="s">
        <v>271</v>
      </c>
      <c r="C564" s="125" t="s">
        <v>767</v>
      </c>
      <c r="D564" s="125" t="s">
        <v>247</v>
      </c>
      <c r="E564" s="221">
        <v>37404</v>
      </c>
      <c r="F564" s="125" t="str">
        <f>CHOOSE(MONTH(E564),"January","February","March","April","May","June","July","August","September","October","November","December")</f>
        <v>May</v>
      </c>
      <c r="G564" s="125">
        <f ca="1">DATEDIF(E564,TODAY(),"Y")</f>
        <v>14</v>
      </c>
      <c r="I564" s="220">
        <v>60070</v>
      </c>
      <c r="J564" s="219">
        <v>3</v>
      </c>
    </row>
    <row r="565" spans="1:10" x14ac:dyDescent="0.25">
      <c r="A565" s="222" t="s">
        <v>582</v>
      </c>
      <c r="B565" s="125" t="s">
        <v>285</v>
      </c>
      <c r="C565" s="125" t="s">
        <v>767</v>
      </c>
      <c r="D565" s="125" t="s">
        <v>252</v>
      </c>
      <c r="E565" s="221">
        <v>36028</v>
      </c>
      <c r="F565" s="125" t="str">
        <f>CHOOSE(MONTH(E565),"January","February","March","April","May","June","July","August","September","October","November","December")</f>
        <v>August</v>
      </c>
      <c r="G565" s="125">
        <f ca="1">DATEDIF(E565,TODAY(),"Y")</f>
        <v>18</v>
      </c>
      <c r="I565" s="220">
        <v>16688</v>
      </c>
      <c r="J565" s="219">
        <v>3</v>
      </c>
    </row>
    <row r="566" spans="1:10" x14ac:dyDescent="0.25">
      <c r="A566" s="222" t="s">
        <v>374</v>
      </c>
      <c r="B566" s="125" t="s">
        <v>271</v>
      </c>
      <c r="C566" s="125" t="s">
        <v>767</v>
      </c>
      <c r="D566" s="125" t="s">
        <v>256</v>
      </c>
      <c r="E566" s="221">
        <v>35219</v>
      </c>
      <c r="F566" s="125" t="str">
        <f>CHOOSE(MONTH(E566),"January","February","March","April","May","June","July","August","September","October","November","December")</f>
        <v>June</v>
      </c>
      <c r="G566" s="125">
        <f ca="1">DATEDIF(E566,TODAY(),"Y")</f>
        <v>20</v>
      </c>
      <c r="H566" s="125" t="s">
        <v>257</v>
      </c>
      <c r="I566" s="220">
        <v>47340</v>
      </c>
      <c r="J566" s="219">
        <v>2</v>
      </c>
    </row>
    <row r="567" spans="1:10" x14ac:dyDescent="0.25">
      <c r="A567" s="222" t="s">
        <v>898</v>
      </c>
      <c r="B567" s="125" t="s">
        <v>271</v>
      </c>
      <c r="C567" s="125" t="s">
        <v>767</v>
      </c>
      <c r="D567" s="125" t="s">
        <v>256</v>
      </c>
      <c r="E567" s="221">
        <v>33098</v>
      </c>
      <c r="F567" s="125" t="str">
        <f>CHOOSE(MONTH(E567),"January","February","March","April","May","June","July","August","September","October","November","December")</f>
        <v>August</v>
      </c>
      <c r="G567" s="125">
        <f ca="1">DATEDIF(E567,TODAY(),"Y")</f>
        <v>26</v>
      </c>
      <c r="H567" s="125" t="s">
        <v>257</v>
      </c>
      <c r="I567" s="220">
        <v>48080</v>
      </c>
      <c r="J567" s="219">
        <v>2</v>
      </c>
    </row>
    <row r="568" spans="1:10" x14ac:dyDescent="0.25">
      <c r="A568" s="222" t="s">
        <v>250</v>
      </c>
      <c r="B568" s="125" t="s">
        <v>285</v>
      </c>
      <c r="C568" s="125" t="s">
        <v>767</v>
      </c>
      <c r="D568" s="125" t="s">
        <v>256</v>
      </c>
      <c r="E568" s="221">
        <v>35616</v>
      </c>
      <c r="F568" s="125" t="str">
        <f>CHOOSE(MONTH(E568),"January","February","March","April","May","June","July","August","September","October","November","December")</f>
        <v>July</v>
      </c>
      <c r="G568" s="125">
        <f ca="1">DATEDIF(E568,TODAY(),"Y")</f>
        <v>19</v>
      </c>
      <c r="H568" s="125" t="s">
        <v>283</v>
      </c>
      <c r="I568" s="220">
        <v>34060</v>
      </c>
      <c r="J568" s="219">
        <v>2</v>
      </c>
    </row>
    <row r="569" spans="1:10" x14ac:dyDescent="0.25">
      <c r="A569" s="222" t="s">
        <v>955</v>
      </c>
      <c r="B569" s="125" t="s">
        <v>285</v>
      </c>
      <c r="C569" s="125" t="s">
        <v>767</v>
      </c>
      <c r="D569" s="125" t="s">
        <v>256</v>
      </c>
      <c r="E569" s="221">
        <v>40438</v>
      </c>
      <c r="F569" s="125" t="str">
        <f>CHOOSE(MONTH(E569),"January","February","March","April","May","June","July","August","September","October","November","December")</f>
        <v>September</v>
      </c>
      <c r="G569" s="125">
        <f ca="1">DATEDIF(E569,TODAY(),"Y")</f>
        <v>6</v>
      </c>
      <c r="H569" s="125" t="s">
        <v>267</v>
      </c>
      <c r="I569" s="220">
        <v>59150</v>
      </c>
      <c r="J569" s="219">
        <v>4</v>
      </c>
    </row>
    <row r="570" spans="1:10" x14ac:dyDescent="0.25">
      <c r="A570" s="222" t="s">
        <v>500</v>
      </c>
      <c r="B570" s="125" t="s">
        <v>271</v>
      </c>
      <c r="C570" s="125" t="s">
        <v>767</v>
      </c>
      <c r="D570" s="125" t="s">
        <v>247</v>
      </c>
      <c r="E570" s="221">
        <v>33234</v>
      </c>
      <c r="F570" s="125" t="str">
        <f>CHOOSE(MONTH(E570),"January","February","March","April","May","June","July","August","September","October","November","December")</f>
        <v>December</v>
      </c>
      <c r="G570" s="125">
        <f ca="1">DATEDIF(E570,TODAY(),"Y")</f>
        <v>25</v>
      </c>
      <c r="I570" s="220">
        <v>58650</v>
      </c>
      <c r="J570" s="219">
        <v>4</v>
      </c>
    </row>
    <row r="571" spans="1:10" x14ac:dyDescent="0.25">
      <c r="A571" s="222" t="s">
        <v>942</v>
      </c>
      <c r="B571" s="125" t="s">
        <v>280</v>
      </c>
      <c r="C571" s="125" t="s">
        <v>767</v>
      </c>
      <c r="D571" s="125" t="s">
        <v>261</v>
      </c>
      <c r="E571" s="221">
        <v>35826</v>
      </c>
      <c r="F571" s="125" t="str">
        <f>CHOOSE(MONTH(E571),"January","February","March","April","May","June","July","August","September","October","November","December")</f>
        <v>January</v>
      </c>
      <c r="G571" s="125">
        <f ca="1">DATEDIF(E571,TODAY(),"Y")</f>
        <v>18</v>
      </c>
      <c r="H571" s="125" t="s">
        <v>257</v>
      </c>
      <c r="I571" s="220">
        <v>31205</v>
      </c>
      <c r="J571" s="219">
        <v>2</v>
      </c>
    </row>
    <row r="572" spans="1:10" x14ac:dyDescent="0.25">
      <c r="A572" s="222" t="s">
        <v>980</v>
      </c>
      <c r="B572" s="125" t="s">
        <v>271</v>
      </c>
      <c r="C572" s="125" t="s">
        <v>767</v>
      </c>
      <c r="D572" s="125" t="s">
        <v>247</v>
      </c>
      <c r="E572" s="221">
        <v>36297</v>
      </c>
      <c r="F572" s="125" t="str">
        <f>CHOOSE(MONTH(E572),"January","February","March","April","May","June","July","August","September","October","November","December")</f>
        <v>May</v>
      </c>
      <c r="G572" s="125">
        <f ca="1">DATEDIF(E572,TODAY(),"Y")</f>
        <v>17</v>
      </c>
      <c r="I572" s="220">
        <v>57990</v>
      </c>
      <c r="J572" s="219">
        <v>5</v>
      </c>
    </row>
    <row r="573" spans="1:10" x14ac:dyDescent="0.25">
      <c r="A573" s="222" t="s">
        <v>944</v>
      </c>
      <c r="B573" s="125" t="s">
        <v>245</v>
      </c>
      <c r="C573" s="125" t="s">
        <v>767</v>
      </c>
      <c r="D573" s="125" t="s">
        <v>247</v>
      </c>
      <c r="E573" s="221">
        <v>40410</v>
      </c>
      <c r="F573" s="125" t="str">
        <f>CHOOSE(MONTH(E573),"January","February","March","April","May","June","July","August","September","October","November","December")</f>
        <v>August</v>
      </c>
      <c r="G573" s="125">
        <f ca="1">DATEDIF(E573,TODAY(),"Y")</f>
        <v>6</v>
      </c>
      <c r="I573" s="220">
        <v>57680</v>
      </c>
      <c r="J573" s="219">
        <v>4</v>
      </c>
    </row>
    <row r="574" spans="1:10" x14ac:dyDescent="0.25">
      <c r="A574" s="222" t="s">
        <v>868</v>
      </c>
      <c r="B574" s="125" t="s">
        <v>285</v>
      </c>
      <c r="C574" s="125" t="s">
        <v>767</v>
      </c>
      <c r="D574" s="125" t="s">
        <v>261</v>
      </c>
      <c r="E574" s="221">
        <v>36084</v>
      </c>
      <c r="F574" s="125" t="str">
        <f>CHOOSE(MONTH(E574),"January","February","March","April","May","June","July","August","September","October","November","December")</f>
        <v>October</v>
      </c>
      <c r="G574" s="125">
        <f ca="1">DATEDIF(E574,TODAY(),"Y")</f>
        <v>18</v>
      </c>
      <c r="H574" s="125" t="s">
        <v>262</v>
      </c>
      <c r="I574" s="220">
        <v>45750</v>
      </c>
      <c r="J574" s="219">
        <v>5</v>
      </c>
    </row>
    <row r="575" spans="1:10" x14ac:dyDescent="0.25">
      <c r="A575" s="222" t="s">
        <v>699</v>
      </c>
      <c r="B575" s="125" t="s">
        <v>271</v>
      </c>
      <c r="C575" s="125" t="s">
        <v>767</v>
      </c>
      <c r="D575" s="125" t="s">
        <v>252</v>
      </c>
      <c r="E575" s="221">
        <v>36380</v>
      </c>
      <c r="F575" s="125" t="str">
        <f>CHOOSE(MONTH(E575),"January","February","March","April","May","June","July","August","September","October","November","December")</f>
        <v>August</v>
      </c>
      <c r="G575" s="125">
        <f ca="1">DATEDIF(E575,TODAY(),"Y")</f>
        <v>17</v>
      </c>
      <c r="I575" s="220">
        <v>36052</v>
      </c>
      <c r="J575" s="219">
        <v>5</v>
      </c>
    </row>
    <row r="576" spans="1:10" x14ac:dyDescent="0.25">
      <c r="A576" s="222" t="s">
        <v>905</v>
      </c>
      <c r="B576" s="125" t="s">
        <v>271</v>
      </c>
      <c r="C576" s="125" t="s">
        <v>767</v>
      </c>
      <c r="D576" s="125" t="s">
        <v>247</v>
      </c>
      <c r="E576" s="221">
        <v>34478</v>
      </c>
      <c r="F576" s="125" t="str">
        <f>CHOOSE(MONTH(E576),"January","February","March","April","May","June","July","August","September","October","November","December")</f>
        <v>May</v>
      </c>
      <c r="G576" s="125">
        <f ca="1">DATEDIF(E576,TODAY(),"Y")</f>
        <v>22</v>
      </c>
      <c r="I576" s="220">
        <v>56650</v>
      </c>
      <c r="J576" s="219">
        <v>1</v>
      </c>
    </row>
    <row r="577" spans="1:10" x14ac:dyDescent="0.25">
      <c r="A577" s="222" t="s">
        <v>310</v>
      </c>
      <c r="B577" s="125" t="s">
        <v>266</v>
      </c>
      <c r="C577" s="125" t="s">
        <v>767</v>
      </c>
      <c r="D577" s="125" t="s">
        <v>261</v>
      </c>
      <c r="E577" s="221">
        <v>38723</v>
      </c>
      <c r="F577" s="125" t="str">
        <f>CHOOSE(MONTH(E577),"January","February","March","April","May","June","July","August","September","October","November","December")</f>
        <v>January</v>
      </c>
      <c r="G577" s="125">
        <f ca="1">DATEDIF(E577,TODAY(),"Y")</f>
        <v>10</v>
      </c>
      <c r="H577" s="125" t="s">
        <v>283</v>
      </c>
      <c r="I577" s="220">
        <v>10630</v>
      </c>
      <c r="J577" s="219">
        <v>3</v>
      </c>
    </row>
    <row r="578" spans="1:10" x14ac:dyDescent="0.25">
      <c r="A578" s="222" t="s">
        <v>689</v>
      </c>
      <c r="B578" s="125" t="s">
        <v>271</v>
      </c>
      <c r="C578" s="125" t="s">
        <v>767</v>
      </c>
      <c r="D578" s="125" t="s">
        <v>256</v>
      </c>
      <c r="E578" s="221">
        <v>36088</v>
      </c>
      <c r="F578" s="125" t="str">
        <f>CHOOSE(MONTH(E578),"January","February","March","April","May","June","July","August","September","October","November","December")</f>
        <v>October</v>
      </c>
      <c r="G578" s="125">
        <f ca="1">DATEDIF(E578,TODAY(),"Y")</f>
        <v>18</v>
      </c>
      <c r="H578" s="125" t="s">
        <v>267</v>
      </c>
      <c r="I578" s="220">
        <v>54580</v>
      </c>
      <c r="J578" s="219">
        <v>4</v>
      </c>
    </row>
    <row r="579" spans="1:10" x14ac:dyDescent="0.25">
      <c r="A579" s="222" t="s">
        <v>323</v>
      </c>
      <c r="B579" s="125" t="s">
        <v>271</v>
      </c>
      <c r="C579" s="125" t="s">
        <v>767</v>
      </c>
      <c r="D579" s="125" t="s">
        <v>256</v>
      </c>
      <c r="E579" s="221">
        <v>33510</v>
      </c>
      <c r="F579" s="125" t="str">
        <f>CHOOSE(MONTH(E579),"January","February","March","April","May","June","July","August","September","October","November","December")</f>
        <v>September</v>
      </c>
      <c r="G579" s="125">
        <f ca="1">DATEDIF(E579,TODAY(),"Y")</f>
        <v>25</v>
      </c>
      <c r="H579" s="125" t="s">
        <v>262</v>
      </c>
      <c r="I579" s="220">
        <v>54500</v>
      </c>
      <c r="J579" s="219">
        <v>5</v>
      </c>
    </row>
    <row r="580" spans="1:10" x14ac:dyDescent="0.25">
      <c r="A580" s="222" t="s">
        <v>342</v>
      </c>
      <c r="B580" s="125" t="s">
        <v>271</v>
      </c>
      <c r="C580" s="125" t="s">
        <v>767</v>
      </c>
      <c r="D580" s="125" t="s">
        <v>247</v>
      </c>
      <c r="E580" s="221">
        <v>34726</v>
      </c>
      <c r="F580" s="125" t="str">
        <f>CHOOSE(MONTH(E580),"January","February","March","April","May","June","July","August","September","October","November","December")</f>
        <v>January</v>
      </c>
      <c r="G580" s="125">
        <f ca="1">DATEDIF(E580,TODAY(),"Y")</f>
        <v>21</v>
      </c>
      <c r="I580" s="220">
        <v>33120</v>
      </c>
      <c r="J580" s="219">
        <v>2</v>
      </c>
    </row>
    <row r="581" spans="1:10" x14ac:dyDescent="0.25">
      <c r="A581" s="222" t="s">
        <v>531</v>
      </c>
      <c r="B581" s="125" t="s">
        <v>271</v>
      </c>
      <c r="C581" s="125" t="s">
        <v>767</v>
      </c>
      <c r="D581" s="125" t="s">
        <v>256</v>
      </c>
      <c r="E581" s="221">
        <v>40137</v>
      </c>
      <c r="F581" s="125" t="str">
        <f>CHOOSE(MONTH(E581),"January","February","March","April","May","June","July","August","September","October","November","December")</f>
        <v>November</v>
      </c>
      <c r="G581" s="125">
        <f ca="1">DATEDIF(E581,TODAY(),"Y")</f>
        <v>6</v>
      </c>
      <c r="H581" s="125" t="s">
        <v>257</v>
      </c>
      <c r="I581" s="220">
        <v>54190</v>
      </c>
      <c r="J581" s="219">
        <v>4</v>
      </c>
    </row>
    <row r="582" spans="1:10" x14ac:dyDescent="0.25">
      <c r="A582" s="222" t="s">
        <v>575</v>
      </c>
      <c r="B582" s="125" t="s">
        <v>271</v>
      </c>
      <c r="C582" s="125" t="s">
        <v>767</v>
      </c>
      <c r="D582" s="125" t="s">
        <v>247</v>
      </c>
      <c r="E582" s="221">
        <v>33515</v>
      </c>
      <c r="F582" s="125" t="str">
        <f>CHOOSE(MONTH(E582),"January","February","March","April","May","June","July","August","September","October","November","December")</f>
        <v>October</v>
      </c>
      <c r="G582" s="125">
        <f ca="1">DATEDIF(E582,TODAY(),"Y")</f>
        <v>25</v>
      </c>
      <c r="I582" s="220">
        <v>52750</v>
      </c>
      <c r="J582" s="219">
        <v>1</v>
      </c>
    </row>
    <row r="583" spans="1:10" x14ac:dyDescent="0.25">
      <c r="A583" s="222" t="s">
        <v>455</v>
      </c>
      <c r="B583" s="125" t="s">
        <v>245</v>
      </c>
      <c r="C583" s="125" t="s">
        <v>767</v>
      </c>
      <c r="D583" s="125" t="s">
        <v>256</v>
      </c>
      <c r="E583" s="221">
        <v>39899</v>
      </c>
      <c r="F583" s="125" t="str">
        <f>CHOOSE(MONTH(E583),"January","February","March","April","May","June","July","August","September","October","November","December")</f>
        <v>March</v>
      </c>
      <c r="G583" s="125">
        <f ca="1">DATEDIF(E583,TODAY(),"Y")</f>
        <v>7</v>
      </c>
      <c r="H583" s="125" t="s">
        <v>257</v>
      </c>
      <c r="I583" s="220">
        <v>24790</v>
      </c>
      <c r="J583" s="219">
        <v>3</v>
      </c>
    </row>
    <row r="584" spans="1:10" x14ac:dyDescent="0.25">
      <c r="A584" s="222" t="s">
        <v>367</v>
      </c>
      <c r="B584" s="125" t="s">
        <v>245</v>
      </c>
      <c r="C584" s="125" t="s">
        <v>767</v>
      </c>
      <c r="D584" s="125" t="s">
        <v>256</v>
      </c>
      <c r="E584" s="221">
        <v>35151</v>
      </c>
      <c r="F584" s="125" t="str">
        <f>CHOOSE(MONTH(E584),"January","February","March","April","May","June","July","August","September","October","November","December")</f>
        <v>March</v>
      </c>
      <c r="G584" s="125">
        <f ca="1">DATEDIF(E584,TODAY(),"Y")</f>
        <v>20</v>
      </c>
      <c r="H584" s="125" t="s">
        <v>276</v>
      </c>
      <c r="I584" s="220">
        <v>29760</v>
      </c>
      <c r="J584" s="219">
        <v>2</v>
      </c>
    </row>
    <row r="585" spans="1:10" x14ac:dyDescent="0.25">
      <c r="A585" s="223" t="s">
        <v>856</v>
      </c>
    </row>
    <row r="586" spans="1:10" x14ac:dyDescent="0.25">
      <c r="A586" s="222" t="s">
        <v>851</v>
      </c>
      <c r="B586" s="125" t="s">
        <v>251</v>
      </c>
      <c r="C586" s="125" t="s">
        <v>856</v>
      </c>
      <c r="D586" s="125" t="s">
        <v>247</v>
      </c>
      <c r="E586" s="221">
        <v>33282</v>
      </c>
      <c r="F586" s="125" t="str">
        <f>CHOOSE(MONTH(E586),"January","February","March","April","May","June","July","August","September","October","November","December")</f>
        <v>February</v>
      </c>
      <c r="G586" s="125">
        <f ca="1">DATEDIF(E586,TODAY(),"Y")</f>
        <v>25</v>
      </c>
      <c r="I586" s="220">
        <v>89450</v>
      </c>
      <c r="J586" s="219">
        <v>2</v>
      </c>
    </row>
    <row r="587" spans="1:10" x14ac:dyDescent="0.25">
      <c r="A587" s="222" t="s">
        <v>935</v>
      </c>
      <c r="B587" s="125" t="s">
        <v>271</v>
      </c>
      <c r="C587" s="125" t="s">
        <v>856</v>
      </c>
      <c r="D587" s="125" t="s">
        <v>256</v>
      </c>
      <c r="E587" s="221">
        <v>34754</v>
      </c>
      <c r="F587" s="125" t="str">
        <f>CHOOSE(MONTH(E587),"January","February","March","April","May","June","July","August","September","October","November","December")</f>
        <v>February</v>
      </c>
      <c r="G587" s="125">
        <f ca="1">DATEDIF(E587,TODAY(),"Y")</f>
        <v>21</v>
      </c>
      <c r="H587" s="125" t="s">
        <v>257</v>
      </c>
      <c r="I587" s="220">
        <v>39000</v>
      </c>
      <c r="J587" s="219">
        <v>5</v>
      </c>
    </row>
    <row r="588" spans="1:10" x14ac:dyDescent="0.25">
      <c r="A588" s="222" t="s">
        <v>477</v>
      </c>
      <c r="B588" s="125" t="s">
        <v>271</v>
      </c>
      <c r="C588" s="125" t="s">
        <v>856</v>
      </c>
      <c r="D588" s="125" t="s">
        <v>261</v>
      </c>
      <c r="E588" s="221">
        <v>36196</v>
      </c>
      <c r="F588" s="125" t="str">
        <f>CHOOSE(MONTH(E588),"January","February","March","April","May","June","July","August","September","October","November","December")</f>
        <v>February</v>
      </c>
      <c r="G588" s="125">
        <f ca="1">DATEDIF(E588,TODAY(),"Y")</f>
        <v>17</v>
      </c>
      <c r="H588" s="125" t="s">
        <v>257</v>
      </c>
      <c r="I588" s="220">
        <v>34980</v>
      </c>
      <c r="J588" s="219">
        <v>2</v>
      </c>
    </row>
    <row r="589" spans="1:10" x14ac:dyDescent="0.25">
      <c r="A589" s="222" t="s">
        <v>379</v>
      </c>
      <c r="B589" s="125" t="s">
        <v>285</v>
      </c>
      <c r="C589" s="125" t="s">
        <v>856</v>
      </c>
      <c r="D589" s="125" t="s">
        <v>256</v>
      </c>
      <c r="E589" s="221">
        <v>35408</v>
      </c>
      <c r="F589" s="125" t="str">
        <f>CHOOSE(MONTH(E589),"January","February","March","April","May","June","July","August","September","October","November","December")</f>
        <v>December</v>
      </c>
      <c r="G589" s="125">
        <f ca="1">DATEDIF(E589,TODAY(),"Y")</f>
        <v>19</v>
      </c>
      <c r="H589" s="125" t="s">
        <v>283</v>
      </c>
      <c r="I589" s="220">
        <v>34330</v>
      </c>
      <c r="J589" s="219">
        <v>3</v>
      </c>
    </row>
    <row r="590" spans="1:10" x14ac:dyDescent="0.25">
      <c r="A590" s="222" t="s">
        <v>641</v>
      </c>
      <c r="B590" s="125" t="s">
        <v>271</v>
      </c>
      <c r="C590" s="125" t="s">
        <v>856</v>
      </c>
      <c r="D590" s="125" t="s">
        <v>256</v>
      </c>
      <c r="E590" s="221">
        <v>33852</v>
      </c>
      <c r="F590" s="125" t="str">
        <f>CHOOSE(MONTH(E590),"January","February","March","April","May","June","July","August","September","October","November","December")</f>
        <v>September</v>
      </c>
      <c r="G590" s="125">
        <f ca="1">DATEDIF(E590,TODAY(),"Y")</f>
        <v>24</v>
      </c>
      <c r="H590" s="125" t="s">
        <v>276</v>
      </c>
      <c r="I590" s="220">
        <v>86240</v>
      </c>
      <c r="J590" s="219">
        <v>1</v>
      </c>
    </row>
    <row r="591" spans="1:10" x14ac:dyDescent="0.25">
      <c r="A591" s="222" t="s">
        <v>334</v>
      </c>
      <c r="B591" s="125" t="s">
        <v>271</v>
      </c>
      <c r="C591" s="125" t="s">
        <v>856</v>
      </c>
      <c r="D591" s="125" t="s">
        <v>247</v>
      </c>
      <c r="E591" s="221">
        <v>35806</v>
      </c>
      <c r="F591" s="125" t="str">
        <f>CHOOSE(MONTH(E591),"January","February","March","April","May","June","July","August","September","October","November","December")</f>
        <v>January</v>
      </c>
      <c r="G591" s="125">
        <f ca="1">DATEDIF(E591,TODAY(),"Y")</f>
        <v>18</v>
      </c>
      <c r="I591" s="220">
        <v>86100</v>
      </c>
      <c r="J591" s="219">
        <v>4</v>
      </c>
    </row>
    <row r="592" spans="1:10" x14ac:dyDescent="0.25">
      <c r="A592" s="222" t="s">
        <v>833</v>
      </c>
      <c r="B592" s="125" t="s">
        <v>285</v>
      </c>
      <c r="C592" s="125" t="s">
        <v>856</v>
      </c>
      <c r="D592" s="125" t="s">
        <v>247</v>
      </c>
      <c r="E592" s="221">
        <v>38793</v>
      </c>
      <c r="F592" s="125" t="str">
        <f>CHOOSE(MONTH(E592),"January","February","March","April","May","June","July","August","September","October","November","December")</f>
        <v>March</v>
      </c>
      <c r="G592" s="125">
        <f ca="1">DATEDIF(E592,TODAY(),"Y")</f>
        <v>10</v>
      </c>
      <c r="I592" s="220">
        <v>85930</v>
      </c>
      <c r="J592" s="219">
        <v>2</v>
      </c>
    </row>
    <row r="593" spans="1:10" x14ac:dyDescent="0.25">
      <c r="A593" s="222" t="s">
        <v>597</v>
      </c>
      <c r="B593" s="125" t="s">
        <v>245</v>
      </c>
      <c r="C593" s="125" t="s">
        <v>856</v>
      </c>
      <c r="D593" s="125" t="s">
        <v>252</v>
      </c>
      <c r="E593" s="221">
        <v>35869</v>
      </c>
      <c r="F593" s="125" t="str">
        <f>CHOOSE(MONTH(E593),"January","February","March","April","May","June","July","August","September","October","November","December")</f>
        <v>March</v>
      </c>
      <c r="G593" s="125">
        <f ca="1">DATEDIF(E593,TODAY(),"Y")</f>
        <v>18</v>
      </c>
      <c r="I593" s="220">
        <v>17912</v>
      </c>
      <c r="J593" s="219">
        <v>5</v>
      </c>
    </row>
    <row r="594" spans="1:10" x14ac:dyDescent="0.25">
      <c r="A594" s="222" t="s">
        <v>590</v>
      </c>
      <c r="B594" s="125" t="s">
        <v>266</v>
      </c>
      <c r="C594" s="125" t="s">
        <v>856</v>
      </c>
      <c r="D594" s="125" t="s">
        <v>256</v>
      </c>
      <c r="E594" s="221">
        <v>36514</v>
      </c>
      <c r="F594" s="125" t="str">
        <f>CHOOSE(MONTH(E594),"January","February","March","April","May","June","July","August","September","October","November","December")</f>
        <v>December</v>
      </c>
      <c r="G594" s="125">
        <f ca="1">DATEDIF(E594,TODAY(),"Y")</f>
        <v>16</v>
      </c>
      <c r="H594" s="125" t="s">
        <v>283</v>
      </c>
      <c r="I594" s="220">
        <v>48250</v>
      </c>
      <c r="J594" s="219">
        <v>3</v>
      </c>
    </row>
    <row r="595" spans="1:10" x14ac:dyDescent="0.25">
      <c r="A595" s="222" t="s">
        <v>1015</v>
      </c>
      <c r="B595" s="125" t="s">
        <v>280</v>
      </c>
      <c r="C595" s="125" t="s">
        <v>856</v>
      </c>
      <c r="D595" s="125" t="s">
        <v>256</v>
      </c>
      <c r="E595" s="221">
        <v>38353</v>
      </c>
      <c r="F595" s="125" t="str">
        <f>CHOOSE(MONTH(E595),"January","February","March","April","May","June","July","August","September","October","November","December")</f>
        <v>January</v>
      </c>
      <c r="G595" s="125">
        <f ca="1">DATEDIF(E595,TODAY(),"Y")</f>
        <v>11</v>
      </c>
      <c r="H595" s="125" t="s">
        <v>283</v>
      </c>
      <c r="I595" s="220">
        <v>83710</v>
      </c>
      <c r="J595" s="219">
        <v>3</v>
      </c>
    </row>
    <row r="596" spans="1:10" x14ac:dyDescent="0.25">
      <c r="A596" s="222" t="s">
        <v>907</v>
      </c>
      <c r="B596" s="125" t="s">
        <v>245</v>
      </c>
      <c r="C596" s="125" t="s">
        <v>856</v>
      </c>
      <c r="D596" s="125" t="s">
        <v>256</v>
      </c>
      <c r="E596" s="221">
        <v>38237</v>
      </c>
      <c r="F596" s="125" t="str">
        <f>CHOOSE(MONTH(E596),"January","February","March","April","May","June","July","August","September","October","November","December")</f>
        <v>September</v>
      </c>
      <c r="G596" s="125">
        <f ca="1">DATEDIF(E596,TODAY(),"Y")</f>
        <v>12</v>
      </c>
      <c r="H596" s="125" t="s">
        <v>283</v>
      </c>
      <c r="I596" s="220">
        <v>31910</v>
      </c>
      <c r="J596" s="219">
        <v>5</v>
      </c>
    </row>
    <row r="597" spans="1:10" x14ac:dyDescent="0.25">
      <c r="A597" s="222" t="s">
        <v>872</v>
      </c>
      <c r="B597" s="125" t="s">
        <v>285</v>
      </c>
      <c r="C597" s="125" t="s">
        <v>856</v>
      </c>
      <c r="D597" s="125" t="s">
        <v>256</v>
      </c>
      <c r="E597" s="221">
        <v>34800</v>
      </c>
      <c r="F597" s="125" t="str">
        <f>CHOOSE(MONTH(E597),"January","February","March","April","May","June","July","August","September","October","November","December")</f>
        <v>April</v>
      </c>
      <c r="G597" s="125">
        <f ca="1">DATEDIF(E597,TODAY(),"Y")</f>
        <v>21</v>
      </c>
      <c r="H597" s="125" t="s">
        <v>262</v>
      </c>
      <c r="I597" s="220">
        <v>82700</v>
      </c>
      <c r="J597" s="219">
        <v>3</v>
      </c>
    </row>
    <row r="598" spans="1:10" x14ac:dyDescent="0.25">
      <c r="A598" s="222" t="s">
        <v>1007</v>
      </c>
      <c r="B598" s="125" t="s">
        <v>266</v>
      </c>
      <c r="C598" s="125" t="s">
        <v>856</v>
      </c>
      <c r="D598" s="125" t="s">
        <v>256</v>
      </c>
      <c r="E598" s="221">
        <v>37625</v>
      </c>
      <c r="F598" s="125" t="str">
        <f>CHOOSE(MONTH(E598),"January","February","March","April","May","June","July","August","September","October","November","December")</f>
        <v>January</v>
      </c>
      <c r="G598" s="125">
        <f ca="1">DATEDIF(E598,TODAY(),"Y")</f>
        <v>13</v>
      </c>
      <c r="H598" s="125" t="s">
        <v>283</v>
      </c>
      <c r="I598" s="220">
        <v>82490</v>
      </c>
      <c r="J598" s="219">
        <v>5</v>
      </c>
    </row>
    <row r="599" spans="1:10" x14ac:dyDescent="0.25">
      <c r="A599" s="222" t="s">
        <v>568</v>
      </c>
      <c r="B599" s="125" t="s">
        <v>271</v>
      </c>
      <c r="C599" s="125" t="s">
        <v>856</v>
      </c>
      <c r="D599" s="125" t="s">
        <v>247</v>
      </c>
      <c r="E599" s="221">
        <v>33421</v>
      </c>
      <c r="F599" s="125" t="str">
        <f>CHOOSE(MONTH(E599),"January","February","March","April","May","June","July","August","September","October","November","December")</f>
        <v>July</v>
      </c>
      <c r="G599" s="125">
        <f ca="1">DATEDIF(E599,TODAY(),"Y")</f>
        <v>25</v>
      </c>
      <c r="I599" s="220">
        <v>46650</v>
      </c>
      <c r="J599" s="219">
        <v>2</v>
      </c>
    </row>
    <row r="600" spans="1:10" x14ac:dyDescent="0.25">
      <c r="A600" s="222" t="s">
        <v>639</v>
      </c>
      <c r="B600" s="125" t="s">
        <v>271</v>
      </c>
      <c r="C600" s="125" t="s">
        <v>856</v>
      </c>
      <c r="D600" s="125" t="s">
        <v>252</v>
      </c>
      <c r="E600" s="221">
        <v>35861</v>
      </c>
      <c r="F600" s="125" t="str">
        <f>CHOOSE(MONTH(E600),"January","February","March","April","May","June","July","August","September","October","November","December")</f>
        <v>March</v>
      </c>
      <c r="G600" s="125">
        <f ca="1">DATEDIF(E600,TODAY(),"Y")</f>
        <v>18</v>
      </c>
      <c r="I600" s="220">
        <v>12836</v>
      </c>
      <c r="J600" s="219">
        <v>5</v>
      </c>
    </row>
    <row r="601" spans="1:10" x14ac:dyDescent="0.25">
      <c r="A601" s="222" t="s">
        <v>306</v>
      </c>
      <c r="B601" s="125" t="s">
        <v>271</v>
      </c>
      <c r="C601" s="125" t="s">
        <v>856</v>
      </c>
      <c r="D601" s="125" t="s">
        <v>252</v>
      </c>
      <c r="E601" s="221">
        <v>34345</v>
      </c>
      <c r="F601" s="125" t="str">
        <f>CHOOSE(MONTH(E601),"January","February","March","April","May","June","July","August","September","October","November","December")</f>
        <v>January</v>
      </c>
      <c r="G601" s="125">
        <f ca="1">DATEDIF(E601,TODAY(),"Y")</f>
        <v>22</v>
      </c>
      <c r="I601" s="220">
        <v>36788</v>
      </c>
      <c r="J601" s="219">
        <v>4</v>
      </c>
    </row>
    <row r="602" spans="1:10" x14ac:dyDescent="0.25">
      <c r="A602" s="222" t="s">
        <v>390</v>
      </c>
      <c r="B602" s="125" t="s">
        <v>285</v>
      </c>
      <c r="C602" s="125" t="s">
        <v>856</v>
      </c>
      <c r="D602" s="125" t="s">
        <v>256</v>
      </c>
      <c r="E602" s="221">
        <v>40581</v>
      </c>
      <c r="F602" s="125" t="str">
        <f>CHOOSE(MONTH(E602),"January","February","March","April","May","June","July","August","September","October","November","December")</f>
        <v>February</v>
      </c>
      <c r="G602" s="125">
        <f ca="1">DATEDIF(E602,TODAY(),"Y")</f>
        <v>5</v>
      </c>
      <c r="H602" s="125" t="s">
        <v>267</v>
      </c>
      <c r="I602" s="220">
        <v>80260</v>
      </c>
      <c r="J602" s="219">
        <v>3</v>
      </c>
    </row>
    <row r="603" spans="1:10" x14ac:dyDescent="0.25">
      <c r="A603" s="222" t="s">
        <v>745</v>
      </c>
      <c r="B603" s="125" t="s">
        <v>280</v>
      </c>
      <c r="C603" s="125" t="s">
        <v>856</v>
      </c>
      <c r="D603" s="125" t="s">
        <v>256</v>
      </c>
      <c r="E603" s="221">
        <v>40078</v>
      </c>
      <c r="F603" s="125" t="str">
        <f>CHOOSE(MONTH(E603),"January","February","March","April","May","June","July","August","September","October","November","December")</f>
        <v>September</v>
      </c>
      <c r="G603" s="125">
        <f ca="1">DATEDIF(E603,TODAY(),"Y")</f>
        <v>7</v>
      </c>
      <c r="H603" s="125" t="s">
        <v>283</v>
      </c>
      <c r="I603" s="220">
        <v>23190</v>
      </c>
      <c r="J603" s="219">
        <v>5</v>
      </c>
    </row>
    <row r="604" spans="1:10" x14ac:dyDescent="0.25">
      <c r="A604" s="222" t="s">
        <v>803</v>
      </c>
      <c r="B604" s="125" t="s">
        <v>271</v>
      </c>
      <c r="C604" s="125" t="s">
        <v>856</v>
      </c>
      <c r="D604" s="125" t="s">
        <v>256</v>
      </c>
      <c r="E604" s="221">
        <v>36078</v>
      </c>
      <c r="F604" s="125" t="str">
        <f>CHOOSE(MONTH(E604),"January","February","March","April","May","June","July","August","September","October","November","December")</f>
        <v>October</v>
      </c>
      <c r="G604" s="125">
        <f ca="1">DATEDIF(E604,TODAY(),"Y")</f>
        <v>18</v>
      </c>
      <c r="H604" s="125" t="s">
        <v>276</v>
      </c>
      <c r="I604" s="220">
        <v>79610</v>
      </c>
      <c r="J604" s="219">
        <v>2</v>
      </c>
    </row>
    <row r="605" spans="1:10" x14ac:dyDescent="0.25">
      <c r="A605" s="222" t="s">
        <v>332</v>
      </c>
      <c r="B605" s="125" t="s">
        <v>266</v>
      </c>
      <c r="C605" s="125" t="s">
        <v>856</v>
      </c>
      <c r="D605" s="125" t="s">
        <v>252</v>
      </c>
      <c r="E605" s="221">
        <v>35034</v>
      </c>
      <c r="F605" s="125" t="str">
        <f>CHOOSE(MONTH(E605),"January","February","March","April","May","June","July","August","September","October","November","December")</f>
        <v>December</v>
      </c>
      <c r="G605" s="125">
        <f ca="1">DATEDIF(E605,TODAY(),"Y")</f>
        <v>20</v>
      </c>
      <c r="I605" s="220">
        <v>23692</v>
      </c>
      <c r="J605" s="219">
        <v>4</v>
      </c>
    </row>
    <row r="606" spans="1:10" x14ac:dyDescent="0.25">
      <c r="A606" s="222" t="s">
        <v>848</v>
      </c>
      <c r="B606" s="125" t="s">
        <v>271</v>
      </c>
      <c r="C606" s="125" t="s">
        <v>856</v>
      </c>
      <c r="D606" s="125" t="s">
        <v>256</v>
      </c>
      <c r="E606" s="221">
        <v>36012</v>
      </c>
      <c r="F606" s="125" t="str">
        <f>CHOOSE(MONTH(E606),"January","February","March","April","May","June","July","August","September","October","November","December")</f>
        <v>August</v>
      </c>
      <c r="G606" s="125">
        <f ca="1">DATEDIF(E606,TODAY(),"Y")</f>
        <v>18</v>
      </c>
      <c r="H606" s="125" t="s">
        <v>262</v>
      </c>
      <c r="I606" s="220">
        <v>78950</v>
      </c>
      <c r="J606" s="219">
        <v>1</v>
      </c>
    </row>
    <row r="607" spans="1:10" x14ac:dyDescent="0.25">
      <c r="A607" s="222" t="s">
        <v>865</v>
      </c>
      <c r="B607" s="125" t="s">
        <v>285</v>
      </c>
      <c r="C607" s="125" t="s">
        <v>856</v>
      </c>
      <c r="D607" s="125" t="s">
        <v>256</v>
      </c>
      <c r="E607" s="221">
        <v>35497</v>
      </c>
      <c r="F607" s="125" t="str">
        <f>CHOOSE(MONTH(E607),"January","February","March","April","May","June","July","August","September","October","November","December")</f>
        <v>March</v>
      </c>
      <c r="G607" s="125">
        <f ca="1">DATEDIF(E607,TODAY(),"Y")</f>
        <v>19</v>
      </c>
      <c r="H607" s="125" t="s">
        <v>257</v>
      </c>
      <c r="I607" s="220">
        <v>78710</v>
      </c>
      <c r="J607" s="219">
        <v>4</v>
      </c>
    </row>
    <row r="608" spans="1:10" x14ac:dyDescent="0.25">
      <c r="A608" s="222" t="s">
        <v>491</v>
      </c>
      <c r="B608" s="125" t="s">
        <v>271</v>
      </c>
      <c r="C608" s="125" t="s">
        <v>856</v>
      </c>
      <c r="D608" s="125" t="s">
        <v>247</v>
      </c>
      <c r="E608" s="221">
        <v>36642</v>
      </c>
      <c r="F608" s="125" t="str">
        <f>CHOOSE(MONTH(E608),"January","February","March","April","May","June","July","August","September","October","November","December")</f>
        <v>April</v>
      </c>
      <c r="G608" s="125">
        <f ca="1">DATEDIF(E608,TODAY(),"Y")</f>
        <v>16</v>
      </c>
      <c r="I608" s="220">
        <v>77760</v>
      </c>
      <c r="J608" s="219">
        <v>3</v>
      </c>
    </row>
    <row r="609" spans="1:10" x14ac:dyDescent="0.25">
      <c r="A609" s="222" t="s">
        <v>348</v>
      </c>
      <c r="B609" s="125" t="s">
        <v>271</v>
      </c>
      <c r="C609" s="125" t="s">
        <v>856</v>
      </c>
      <c r="D609" s="125" t="s">
        <v>261</v>
      </c>
      <c r="E609" s="221">
        <v>35688</v>
      </c>
      <c r="F609" s="125" t="str">
        <f>CHOOSE(MONTH(E609),"January","February","March","April","May","June","July","August","September","October","November","December")</f>
        <v>September</v>
      </c>
      <c r="G609" s="125">
        <f ca="1">DATEDIF(E609,TODAY(),"Y")</f>
        <v>19</v>
      </c>
      <c r="H609" s="125" t="s">
        <v>283</v>
      </c>
      <c r="I609" s="220">
        <v>42740</v>
      </c>
      <c r="J609" s="219">
        <v>2</v>
      </c>
    </row>
    <row r="610" spans="1:10" x14ac:dyDescent="0.25">
      <c r="A610" s="222" t="s">
        <v>512</v>
      </c>
      <c r="B610" s="125" t="s">
        <v>285</v>
      </c>
      <c r="C610" s="125" t="s">
        <v>856</v>
      </c>
      <c r="D610" s="125" t="s">
        <v>256</v>
      </c>
      <c r="E610" s="221">
        <v>36407</v>
      </c>
      <c r="F610" s="125" t="str">
        <f>CHOOSE(MONTH(E610),"January","February","March","April","May","June","July","August","September","October","November","December")</f>
        <v>September</v>
      </c>
      <c r="G610" s="125">
        <f ca="1">DATEDIF(E610,TODAY(),"Y")</f>
        <v>17</v>
      </c>
      <c r="H610" s="125" t="s">
        <v>262</v>
      </c>
      <c r="I610" s="220">
        <v>45880</v>
      </c>
      <c r="J610" s="219">
        <v>5</v>
      </c>
    </row>
    <row r="611" spans="1:10" x14ac:dyDescent="0.25">
      <c r="A611" s="222" t="s">
        <v>945</v>
      </c>
      <c r="B611" s="125" t="s">
        <v>285</v>
      </c>
      <c r="C611" s="125" t="s">
        <v>856</v>
      </c>
      <c r="D611" s="125" t="s">
        <v>256</v>
      </c>
      <c r="E611" s="221">
        <v>36526</v>
      </c>
      <c r="F611" s="125" t="str">
        <f>CHOOSE(MONTH(E611),"January","February","March","April","May","June","July","August","September","October","November","December")</f>
        <v>January</v>
      </c>
      <c r="G611" s="125">
        <f ca="1">DATEDIF(E611,TODAY(),"Y")</f>
        <v>16</v>
      </c>
      <c r="H611" s="125" t="s">
        <v>257</v>
      </c>
      <c r="I611" s="220">
        <v>29260</v>
      </c>
      <c r="J611" s="219">
        <v>4</v>
      </c>
    </row>
    <row r="612" spans="1:10" x14ac:dyDescent="0.25">
      <c r="A612" s="222" t="s">
        <v>943</v>
      </c>
      <c r="B612" s="125" t="s">
        <v>285</v>
      </c>
      <c r="C612" s="125" t="s">
        <v>856</v>
      </c>
      <c r="D612" s="125" t="s">
        <v>256</v>
      </c>
      <c r="E612" s="221">
        <v>39745</v>
      </c>
      <c r="F612" s="125" t="str">
        <f>CHOOSE(MONTH(E612),"January","February","March","April","May","June","July","August","September","October","November","December")</f>
        <v>October</v>
      </c>
      <c r="G612" s="125">
        <f ca="1">DATEDIF(E612,TODAY(),"Y")</f>
        <v>8</v>
      </c>
      <c r="H612" s="125" t="s">
        <v>283</v>
      </c>
      <c r="I612" s="220">
        <v>29330</v>
      </c>
      <c r="J612" s="219">
        <v>5</v>
      </c>
    </row>
    <row r="613" spans="1:10" x14ac:dyDescent="0.25">
      <c r="A613" s="222" t="s">
        <v>835</v>
      </c>
      <c r="B613" s="125" t="s">
        <v>245</v>
      </c>
      <c r="C613" s="125" t="s">
        <v>856</v>
      </c>
      <c r="D613" s="125" t="s">
        <v>252</v>
      </c>
      <c r="E613" s="221">
        <v>33256</v>
      </c>
      <c r="F613" s="125" t="str">
        <f>CHOOSE(MONTH(E613),"January","February","March","April","May","June","July","August","September","October","November","December")</f>
        <v>January</v>
      </c>
      <c r="G613" s="125">
        <f ca="1">DATEDIF(E613,TODAY(),"Y")</f>
        <v>25</v>
      </c>
      <c r="I613" s="220">
        <v>30468</v>
      </c>
      <c r="J613" s="219">
        <v>2</v>
      </c>
    </row>
    <row r="614" spans="1:10" x14ac:dyDescent="0.25">
      <c r="A614" s="222" t="s">
        <v>318</v>
      </c>
      <c r="B614" s="125" t="s">
        <v>285</v>
      </c>
      <c r="C614" s="125" t="s">
        <v>856</v>
      </c>
      <c r="D614" s="125" t="s">
        <v>256</v>
      </c>
      <c r="E614" s="221">
        <v>38902</v>
      </c>
      <c r="F614" s="125" t="str">
        <f>CHOOSE(MONTH(E614),"January","February","March","April","May","June","July","August","September","October","November","December")</f>
        <v>July</v>
      </c>
      <c r="G614" s="125">
        <f ca="1">DATEDIF(E614,TODAY(),"Y")</f>
        <v>10</v>
      </c>
      <c r="H614" s="125" t="s">
        <v>257</v>
      </c>
      <c r="I614" s="220">
        <v>73560</v>
      </c>
      <c r="J614" s="219">
        <v>3</v>
      </c>
    </row>
    <row r="615" spans="1:10" x14ac:dyDescent="0.25">
      <c r="A615" s="222" t="s">
        <v>648</v>
      </c>
      <c r="B615" s="125" t="s">
        <v>271</v>
      </c>
      <c r="C615" s="125" t="s">
        <v>856</v>
      </c>
      <c r="D615" s="125" t="s">
        <v>247</v>
      </c>
      <c r="E615" s="221">
        <v>40350</v>
      </c>
      <c r="F615" s="125" t="str">
        <f>CHOOSE(MONTH(E615),"January","February","March","April","May","June","July","August","September","October","November","December")</f>
        <v>June</v>
      </c>
      <c r="G615" s="125">
        <f ca="1">DATEDIF(E615,TODAY(),"Y")</f>
        <v>6</v>
      </c>
      <c r="I615" s="220">
        <v>21580</v>
      </c>
      <c r="J615" s="219">
        <v>3</v>
      </c>
    </row>
    <row r="616" spans="1:10" x14ac:dyDescent="0.25">
      <c r="A616" s="222" t="s">
        <v>873</v>
      </c>
      <c r="B616" s="125" t="s">
        <v>245</v>
      </c>
      <c r="C616" s="125" t="s">
        <v>856</v>
      </c>
      <c r="D616" s="125" t="s">
        <v>261</v>
      </c>
      <c r="E616" s="221">
        <v>37775</v>
      </c>
      <c r="F616" s="125" t="str">
        <f>CHOOSE(MONTH(E616),"January","February","March","April","May","June","July","August","September","October","November","December")</f>
        <v>June</v>
      </c>
      <c r="G616" s="125">
        <f ca="1">DATEDIF(E616,TODAY(),"Y")</f>
        <v>13</v>
      </c>
      <c r="H616" s="125" t="s">
        <v>262</v>
      </c>
      <c r="I616" s="220">
        <v>28525</v>
      </c>
      <c r="J616" s="219">
        <v>4</v>
      </c>
    </row>
    <row r="617" spans="1:10" x14ac:dyDescent="0.25">
      <c r="A617" s="222" t="s">
        <v>853</v>
      </c>
      <c r="B617" s="125" t="s">
        <v>245</v>
      </c>
      <c r="C617" s="125" t="s">
        <v>856</v>
      </c>
      <c r="D617" s="125" t="s">
        <v>256</v>
      </c>
      <c r="E617" s="221">
        <v>39815</v>
      </c>
      <c r="F617" s="125" t="str">
        <f>CHOOSE(MONTH(E617),"January","February","March","April","May","June","July","August","September","October","November","December")</f>
        <v>January</v>
      </c>
      <c r="G617" s="125">
        <f ca="1">DATEDIF(E617,TODAY(),"Y")</f>
        <v>7</v>
      </c>
      <c r="H617" s="125" t="s">
        <v>283</v>
      </c>
      <c r="I617" s="220">
        <v>72060</v>
      </c>
      <c r="J617" s="219">
        <v>2</v>
      </c>
    </row>
    <row r="618" spans="1:10" x14ac:dyDescent="0.25">
      <c r="A618" s="222" t="s">
        <v>704</v>
      </c>
      <c r="B618" s="125" t="s">
        <v>271</v>
      </c>
      <c r="C618" s="125" t="s">
        <v>856</v>
      </c>
      <c r="D618" s="125" t="s">
        <v>252</v>
      </c>
      <c r="E618" s="221">
        <v>35402</v>
      </c>
      <c r="F618" s="125" t="str">
        <f>CHOOSE(MONTH(E618),"January","February","March","April","May","June","July","August","September","October","November","December")</f>
        <v>December</v>
      </c>
      <c r="G618" s="125">
        <f ca="1">DATEDIF(E618,TODAY(),"Y")</f>
        <v>19</v>
      </c>
      <c r="I618" s="220">
        <v>33508</v>
      </c>
      <c r="J618" s="219">
        <v>4</v>
      </c>
    </row>
    <row r="619" spans="1:10" x14ac:dyDescent="0.25">
      <c r="A619" s="222" t="s">
        <v>288</v>
      </c>
      <c r="B619" s="125" t="s">
        <v>285</v>
      </c>
      <c r="C619" s="125" t="s">
        <v>856</v>
      </c>
      <c r="D619" s="125" t="s">
        <v>247</v>
      </c>
      <c r="E619" s="221">
        <v>39720</v>
      </c>
      <c r="F619" s="125" t="str">
        <f>CHOOSE(MONTH(E619),"January","February","March","April","May","June","July","August","September","October","November","December")</f>
        <v>September</v>
      </c>
      <c r="G619" s="125">
        <f ca="1">DATEDIF(E619,TODAY(),"Y")</f>
        <v>8</v>
      </c>
      <c r="I619" s="220">
        <v>43320</v>
      </c>
      <c r="J619" s="219">
        <v>5</v>
      </c>
    </row>
    <row r="620" spans="1:10" x14ac:dyDescent="0.25">
      <c r="A620" s="222" t="s">
        <v>1020</v>
      </c>
      <c r="B620" s="125" t="s">
        <v>271</v>
      </c>
      <c r="C620" s="125" t="s">
        <v>856</v>
      </c>
      <c r="D620" s="125" t="s">
        <v>261</v>
      </c>
      <c r="E620" s="221">
        <v>36531</v>
      </c>
      <c r="F620" s="125" t="str">
        <f>CHOOSE(MONTH(E620),"January","February","March","April","May","June","July","August","September","October","November","December")</f>
        <v>January</v>
      </c>
      <c r="G620" s="125">
        <f ca="1">DATEDIF(E620,TODAY(),"Y")</f>
        <v>16</v>
      </c>
      <c r="H620" s="125" t="s">
        <v>267</v>
      </c>
      <c r="I620" s="220">
        <v>20990</v>
      </c>
      <c r="J620" s="219">
        <v>4</v>
      </c>
    </row>
    <row r="621" spans="1:10" x14ac:dyDescent="0.25">
      <c r="A621" s="222" t="s">
        <v>359</v>
      </c>
      <c r="B621" s="125" t="s">
        <v>280</v>
      </c>
      <c r="C621" s="125" t="s">
        <v>856</v>
      </c>
      <c r="D621" s="125" t="s">
        <v>261</v>
      </c>
      <c r="E621" s="221">
        <v>37815</v>
      </c>
      <c r="F621" s="125" t="str">
        <f>CHOOSE(MONTH(E621),"January","February","March","April","May","June","July","August","September","October","November","December")</f>
        <v>July</v>
      </c>
      <c r="G621" s="125">
        <f ca="1">DATEDIF(E621,TODAY(),"Y")</f>
        <v>13</v>
      </c>
      <c r="H621" s="125" t="s">
        <v>257</v>
      </c>
      <c r="I621" s="220">
        <v>48740</v>
      </c>
      <c r="J621" s="219">
        <v>1</v>
      </c>
    </row>
    <row r="622" spans="1:10" x14ac:dyDescent="0.25">
      <c r="A622" s="222" t="s">
        <v>420</v>
      </c>
      <c r="B622" s="125" t="s">
        <v>280</v>
      </c>
      <c r="C622" s="125" t="s">
        <v>856</v>
      </c>
      <c r="D622" s="125" t="s">
        <v>256</v>
      </c>
      <c r="E622" s="221">
        <v>35715</v>
      </c>
      <c r="F622" s="125" t="str">
        <f>CHOOSE(MONTH(E622),"January","February","March","April","May","June","July","August","September","October","November","December")</f>
        <v>October</v>
      </c>
      <c r="G622" s="125">
        <f ca="1">DATEDIF(E622,TODAY(),"Y")</f>
        <v>19</v>
      </c>
      <c r="H622" s="125" t="s">
        <v>283</v>
      </c>
      <c r="I622" s="220">
        <v>32120</v>
      </c>
      <c r="J622" s="219">
        <v>1</v>
      </c>
    </row>
    <row r="623" spans="1:10" x14ac:dyDescent="0.25">
      <c r="A623" s="222" t="s">
        <v>896</v>
      </c>
      <c r="B623" s="125" t="s">
        <v>251</v>
      </c>
      <c r="C623" s="125" t="s">
        <v>856</v>
      </c>
      <c r="D623" s="125" t="s">
        <v>256</v>
      </c>
      <c r="E623" s="221">
        <v>34021</v>
      </c>
      <c r="F623" s="125" t="str">
        <f>CHOOSE(MONTH(E623),"January","February","March","April","May","June","July","August","September","October","November","December")</f>
        <v>February</v>
      </c>
      <c r="G623" s="125">
        <f ca="1">DATEDIF(E623,TODAY(),"Y")</f>
        <v>23</v>
      </c>
      <c r="H623" s="125" t="s">
        <v>283</v>
      </c>
      <c r="I623" s="220">
        <v>45110</v>
      </c>
      <c r="J623" s="219">
        <v>2</v>
      </c>
    </row>
    <row r="624" spans="1:10" x14ac:dyDescent="0.25">
      <c r="A624" s="222" t="s">
        <v>1034</v>
      </c>
      <c r="B624" s="125" t="s">
        <v>245</v>
      </c>
      <c r="C624" s="125" t="s">
        <v>856</v>
      </c>
      <c r="D624" s="125" t="s">
        <v>256</v>
      </c>
      <c r="E624" s="221">
        <v>36290</v>
      </c>
      <c r="F624" s="125" t="str">
        <f>CHOOSE(MONTH(E624),"January","February","March","April","May","June","July","August","September","October","November","December")</f>
        <v>May</v>
      </c>
      <c r="G624" s="125">
        <f ca="1">DATEDIF(E624,TODAY(),"Y")</f>
        <v>17</v>
      </c>
      <c r="H624" s="125" t="s">
        <v>283</v>
      </c>
      <c r="I624" s="220">
        <v>39000</v>
      </c>
      <c r="J624" s="219">
        <v>3</v>
      </c>
    </row>
    <row r="625" spans="1:10" x14ac:dyDescent="0.25">
      <c r="A625" s="222" t="s">
        <v>278</v>
      </c>
      <c r="B625" s="125" t="s">
        <v>285</v>
      </c>
      <c r="C625" s="125" t="s">
        <v>856</v>
      </c>
      <c r="D625" s="125" t="s">
        <v>256</v>
      </c>
      <c r="E625" s="221">
        <v>35896</v>
      </c>
      <c r="F625" s="125" t="str">
        <f>CHOOSE(MONTH(E625),"January","February","March","April","May","June","July","August","September","October","November","December")</f>
        <v>April</v>
      </c>
      <c r="G625" s="125">
        <f ca="1">DATEDIF(E625,TODAY(),"Y")</f>
        <v>18</v>
      </c>
      <c r="H625" s="125" t="s">
        <v>283</v>
      </c>
      <c r="I625" s="220">
        <v>70280</v>
      </c>
      <c r="J625" s="219">
        <v>3</v>
      </c>
    </row>
    <row r="626" spans="1:10" x14ac:dyDescent="0.25">
      <c r="A626" s="222" t="s">
        <v>788</v>
      </c>
      <c r="B626" s="125" t="s">
        <v>245</v>
      </c>
      <c r="C626" s="125" t="s">
        <v>856</v>
      </c>
      <c r="D626" s="125" t="s">
        <v>256</v>
      </c>
      <c r="E626" s="221">
        <v>39153</v>
      </c>
      <c r="F626" s="125" t="str">
        <f>CHOOSE(MONTH(E626),"January","February","March","April","May","June","July","August","September","October","November","December")</f>
        <v>March</v>
      </c>
      <c r="G626" s="125">
        <f ca="1">DATEDIF(E626,TODAY(),"Y")</f>
        <v>9</v>
      </c>
      <c r="H626" s="125" t="s">
        <v>283</v>
      </c>
      <c r="I626" s="220">
        <v>43600</v>
      </c>
      <c r="J626" s="219">
        <v>5</v>
      </c>
    </row>
    <row r="627" spans="1:10" x14ac:dyDescent="0.25">
      <c r="A627" s="222" t="s">
        <v>978</v>
      </c>
      <c r="B627" s="125" t="s">
        <v>285</v>
      </c>
      <c r="C627" s="125" t="s">
        <v>856</v>
      </c>
      <c r="D627" s="125" t="s">
        <v>256</v>
      </c>
      <c r="E627" s="221">
        <v>36312</v>
      </c>
      <c r="F627" s="125" t="str">
        <f>CHOOSE(MONTH(E627),"January","February","March","April","May","June","July","August","September","October","November","December")</f>
        <v>June</v>
      </c>
      <c r="G627" s="125">
        <f ca="1">DATEDIF(E627,TODAY(),"Y")</f>
        <v>17</v>
      </c>
      <c r="H627" s="125" t="s">
        <v>257</v>
      </c>
      <c r="I627" s="220">
        <v>69200</v>
      </c>
      <c r="J627" s="219">
        <v>4</v>
      </c>
    </row>
    <row r="628" spans="1:10" x14ac:dyDescent="0.25">
      <c r="A628" s="222" t="s">
        <v>595</v>
      </c>
      <c r="B628" s="125" t="s">
        <v>285</v>
      </c>
      <c r="C628" s="125" t="s">
        <v>856</v>
      </c>
      <c r="D628" s="125" t="s">
        <v>256</v>
      </c>
      <c r="E628" s="221">
        <v>33711</v>
      </c>
      <c r="F628" s="125" t="str">
        <f>CHOOSE(MONTH(E628),"January","February","March","April","May","June","July","August","September","October","November","December")</f>
        <v>April</v>
      </c>
      <c r="G628" s="125">
        <f ca="1">DATEDIF(E628,TODAY(),"Y")</f>
        <v>24</v>
      </c>
      <c r="H628" s="125" t="s">
        <v>257</v>
      </c>
      <c r="I628" s="220">
        <v>68470</v>
      </c>
      <c r="J628" s="219">
        <v>4</v>
      </c>
    </row>
    <row r="629" spans="1:10" x14ac:dyDescent="0.25">
      <c r="A629" s="222" t="s">
        <v>444</v>
      </c>
      <c r="B629" s="125" t="s">
        <v>280</v>
      </c>
      <c r="C629" s="125" t="s">
        <v>856</v>
      </c>
      <c r="D629" s="125" t="s">
        <v>256</v>
      </c>
      <c r="E629" s="221">
        <v>37793</v>
      </c>
      <c r="F629" s="125" t="str">
        <f>CHOOSE(MONTH(E629),"January","February","March","April","May","June","July","August","September","October","November","December")</f>
        <v>June</v>
      </c>
      <c r="G629" s="125">
        <f ca="1">DATEDIF(E629,TODAY(),"Y")</f>
        <v>13</v>
      </c>
      <c r="H629" s="125" t="s">
        <v>257</v>
      </c>
      <c r="I629" s="220">
        <v>29210</v>
      </c>
      <c r="J629" s="219">
        <v>5</v>
      </c>
    </row>
    <row r="630" spans="1:10" x14ac:dyDescent="0.25">
      <c r="A630" s="222" t="s">
        <v>1035</v>
      </c>
      <c r="B630" s="125" t="s">
        <v>251</v>
      </c>
      <c r="C630" s="125" t="s">
        <v>856</v>
      </c>
      <c r="D630" s="125" t="s">
        <v>256</v>
      </c>
      <c r="E630" s="221">
        <v>33454</v>
      </c>
      <c r="F630" s="125" t="str">
        <f>CHOOSE(MONTH(E630),"January","February","March","April","May","June","July","August","September","October","November","December")</f>
        <v>August</v>
      </c>
      <c r="G630" s="125">
        <f ca="1">DATEDIF(E630,TODAY(),"Y")</f>
        <v>25</v>
      </c>
      <c r="H630" s="125" t="s">
        <v>257</v>
      </c>
      <c r="I630" s="220">
        <v>67920</v>
      </c>
      <c r="J630" s="219">
        <v>4</v>
      </c>
    </row>
    <row r="631" spans="1:10" x14ac:dyDescent="0.25">
      <c r="A631" s="222" t="s">
        <v>469</v>
      </c>
      <c r="B631" s="125" t="s">
        <v>245</v>
      </c>
      <c r="C631" s="125" t="s">
        <v>856</v>
      </c>
      <c r="D631" s="125" t="s">
        <v>256</v>
      </c>
      <c r="E631" s="221">
        <v>36081</v>
      </c>
      <c r="F631" s="125" t="str">
        <f>CHOOSE(MONTH(E631),"January","February","March","April","May","June","July","August","September","October","November","December")</f>
        <v>October</v>
      </c>
      <c r="G631" s="125">
        <f ca="1">DATEDIF(E631,TODAY(),"Y")</f>
        <v>18</v>
      </c>
      <c r="H631" s="125" t="s">
        <v>283</v>
      </c>
      <c r="I631" s="220">
        <v>67407</v>
      </c>
      <c r="J631" s="219">
        <v>5</v>
      </c>
    </row>
    <row r="632" spans="1:10" x14ac:dyDescent="0.25">
      <c r="A632" s="222" t="s">
        <v>1017</v>
      </c>
      <c r="B632" s="125" t="s">
        <v>245</v>
      </c>
      <c r="C632" s="125" t="s">
        <v>856</v>
      </c>
      <c r="D632" s="125" t="s">
        <v>256</v>
      </c>
      <c r="E632" s="221">
        <v>36360</v>
      </c>
      <c r="F632" s="125" t="str">
        <f>CHOOSE(MONTH(E632),"January","February","March","April","May","June","July","August","September","October","November","December")</f>
        <v>July</v>
      </c>
      <c r="G632" s="125">
        <f ca="1">DATEDIF(E632,TODAY(),"Y")</f>
        <v>17</v>
      </c>
      <c r="H632" s="125" t="s">
        <v>283</v>
      </c>
      <c r="I632" s="220">
        <v>67020</v>
      </c>
      <c r="J632" s="219">
        <v>1</v>
      </c>
    </row>
    <row r="633" spans="1:10" x14ac:dyDescent="0.25">
      <c r="A633" s="222" t="s">
        <v>918</v>
      </c>
      <c r="B633" s="125" t="s">
        <v>266</v>
      </c>
      <c r="C633" s="125" t="s">
        <v>856</v>
      </c>
      <c r="D633" s="125" t="s">
        <v>252</v>
      </c>
      <c r="E633" s="221">
        <v>36557</v>
      </c>
      <c r="F633" s="125" t="str">
        <f>CHOOSE(MONTH(E633),"January","February","March","April","May","June","July","August","September","October","November","December")</f>
        <v>February</v>
      </c>
      <c r="G633" s="125">
        <f ca="1">DATEDIF(E633,TODAY(),"Y")</f>
        <v>16</v>
      </c>
      <c r="I633" s="220">
        <v>15552</v>
      </c>
      <c r="J633" s="219">
        <v>4</v>
      </c>
    </row>
    <row r="634" spans="1:10" x14ac:dyDescent="0.25">
      <c r="A634" s="222" t="s">
        <v>605</v>
      </c>
      <c r="B634" s="125" t="s">
        <v>271</v>
      </c>
      <c r="C634" s="125" t="s">
        <v>856</v>
      </c>
      <c r="D634" s="125" t="s">
        <v>256</v>
      </c>
      <c r="E634" s="221">
        <v>34028</v>
      </c>
      <c r="F634" s="125" t="str">
        <f>CHOOSE(MONTH(E634),"January","February","March","April","May","June","July","August","September","October","November","December")</f>
        <v>February</v>
      </c>
      <c r="G634" s="125">
        <f ca="1">DATEDIF(E634,TODAY(),"Y")</f>
        <v>23</v>
      </c>
      <c r="H634" s="125" t="s">
        <v>283</v>
      </c>
      <c r="I634" s="220">
        <v>66824</v>
      </c>
      <c r="J634" s="219">
        <v>2</v>
      </c>
    </row>
    <row r="635" spans="1:10" x14ac:dyDescent="0.25">
      <c r="A635" s="222" t="s">
        <v>523</v>
      </c>
      <c r="B635" s="125" t="s">
        <v>271</v>
      </c>
      <c r="C635" s="125" t="s">
        <v>856</v>
      </c>
      <c r="D635" s="125" t="s">
        <v>256</v>
      </c>
      <c r="E635" s="221">
        <v>35373</v>
      </c>
      <c r="F635" s="125" t="str">
        <f>CHOOSE(MONTH(E635),"January","February","March","April","May","June","July","August","September","October","November","December")</f>
        <v>November</v>
      </c>
      <c r="G635" s="125">
        <f ca="1">DATEDIF(E635,TODAY(),"Y")</f>
        <v>20</v>
      </c>
      <c r="H635" s="125" t="s">
        <v>283</v>
      </c>
      <c r="I635" s="220">
        <v>66440</v>
      </c>
      <c r="J635" s="219">
        <v>3</v>
      </c>
    </row>
    <row r="636" spans="1:10" x14ac:dyDescent="0.25">
      <c r="A636" s="222" t="s">
        <v>1033</v>
      </c>
      <c r="B636" s="125" t="s">
        <v>285</v>
      </c>
      <c r="C636" s="125" t="s">
        <v>856</v>
      </c>
      <c r="D636" s="125" t="s">
        <v>256</v>
      </c>
      <c r="E636" s="221">
        <v>33685</v>
      </c>
      <c r="F636" s="125" t="str">
        <f>CHOOSE(MONTH(E636),"January","February","March","April","May","June","July","August","September","October","November","December")</f>
        <v>March</v>
      </c>
      <c r="G636" s="125">
        <f ca="1">DATEDIF(E636,TODAY(),"Y")</f>
        <v>24</v>
      </c>
      <c r="H636" s="125" t="s">
        <v>257</v>
      </c>
      <c r="I636" s="220">
        <v>65571</v>
      </c>
      <c r="J636" s="219">
        <v>3</v>
      </c>
    </row>
    <row r="637" spans="1:10" x14ac:dyDescent="0.25">
      <c r="A637" s="222" t="s">
        <v>499</v>
      </c>
      <c r="B637" s="125" t="s">
        <v>251</v>
      </c>
      <c r="C637" s="125" t="s">
        <v>856</v>
      </c>
      <c r="D637" s="125" t="s">
        <v>247</v>
      </c>
      <c r="E637" s="221">
        <v>38027</v>
      </c>
      <c r="F637" s="125" t="str">
        <f>CHOOSE(MONTH(E637),"January","February","March","April","May","June","July","August","September","October","November","December")</f>
        <v>February</v>
      </c>
      <c r="G637" s="125">
        <f ca="1">DATEDIF(E637,TODAY(),"Y")</f>
        <v>12</v>
      </c>
      <c r="I637" s="220">
        <v>64590</v>
      </c>
      <c r="J637" s="219">
        <v>1</v>
      </c>
    </row>
    <row r="638" spans="1:10" x14ac:dyDescent="0.25">
      <c r="A638" s="222" t="s">
        <v>438</v>
      </c>
      <c r="B638" s="125" t="s">
        <v>285</v>
      </c>
      <c r="C638" s="125" t="s">
        <v>856</v>
      </c>
      <c r="D638" s="125" t="s">
        <v>256</v>
      </c>
      <c r="E638" s="221">
        <v>33269</v>
      </c>
      <c r="F638" s="125" t="str">
        <f>CHOOSE(MONTH(E638),"January","February","March","April","May","June","July","August","September","October","November","December")</f>
        <v>January</v>
      </c>
      <c r="G638" s="125">
        <f ca="1">DATEDIF(E638,TODAY(),"Y")</f>
        <v>25</v>
      </c>
      <c r="H638" s="125" t="s">
        <v>283</v>
      </c>
      <c r="I638" s="220">
        <v>24840</v>
      </c>
      <c r="J638" s="219">
        <v>1</v>
      </c>
    </row>
    <row r="639" spans="1:10" x14ac:dyDescent="0.25">
      <c r="A639" s="222" t="s">
        <v>454</v>
      </c>
      <c r="B639" s="125" t="s">
        <v>271</v>
      </c>
      <c r="C639" s="125" t="s">
        <v>856</v>
      </c>
      <c r="D639" s="125" t="s">
        <v>256</v>
      </c>
      <c r="E639" s="221">
        <v>34285</v>
      </c>
      <c r="F639" s="125" t="str">
        <f>CHOOSE(MONTH(E639),"January","February","March","April","May","June","July","August","September","October","November","December")</f>
        <v>November</v>
      </c>
      <c r="G639" s="125">
        <f ca="1">DATEDIF(E639,TODAY(),"Y")</f>
        <v>22</v>
      </c>
      <c r="H639" s="125" t="s">
        <v>267</v>
      </c>
      <c r="I639" s="220">
        <v>48490</v>
      </c>
      <c r="J639" s="219">
        <v>2</v>
      </c>
    </row>
    <row r="640" spans="1:10" x14ac:dyDescent="0.25">
      <c r="A640" s="222" t="s">
        <v>457</v>
      </c>
      <c r="B640" s="125" t="s">
        <v>266</v>
      </c>
      <c r="C640" s="125" t="s">
        <v>856</v>
      </c>
      <c r="D640" s="125" t="s">
        <v>256</v>
      </c>
      <c r="E640" s="221">
        <v>33548</v>
      </c>
      <c r="F640" s="125" t="str">
        <f>CHOOSE(MONTH(E640),"January","February","March","April","May","June","July","August","September","October","November","December")</f>
        <v>November</v>
      </c>
      <c r="G640" s="125">
        <f ca="1">DATEDIF(E640,TODAY(),"Y")</f>
        <v>25</v>
      </c>
      <c r="H640" s="125" t="s">
        <v>283</v>
      </c>
      <c r="I640" s="220">
        <v>63050</v>
      </c>
      <c r="J640" s="219">
        <v>3</v>
      </c>
    </row>
    <row r="641" spans="1:10" x14ac:dyDescent="0.25">
      <c r="A641" s="222" t="s">
        <v>949</v>
      </c>
      <c r="B641" s="125" t="s">
        <v>271</v>
      </c>
      <c r="C641" s="125" t="s">
        <v>856</v>
      </c>
      <c r="D641" s="125" t="s">
        <v>256</v>
      </c>
      <c r="E641" s="221">
        <v>35356</v>
      </c>
      <c r="F641" s="125" t="str">
        <f>CHOOSE(MONTH(E641),"January","February","March","April","May","June","July","August","September","October","November","December")</f>
        <v>October</v>
      </c>
      <c r="G641" s="125">
        <f ca="1">DATEDIF(E641,TODAY(),"Y")</f>
        <v>20</v>
      </c>
      <c r="H641" s="125" t="s">
        <v>262</v>
      </c>
      <c r="I641" s="220">
        <v>63030</v>
      </c>
      <c r="J641" s="219">
        <v>1</v>
      </c>
    </row>
    <row r="642" spans="1:10" x14ac:dyDescent="0.25">
      <c r="A642" s="222" t="s">
        <v>971</v>
      </c>
      <c r="B642" s="125" t="s">
        <v>245</v>
      </c>
      <c r="C642" s="125" t="s">
        <v>856</v>
      </c>
      <c r="D642" s="125" t="s">
        <v>256</v>
      </c>
      <c r="E642" s="221">
        <v>35451</v>
      </c>
      <c r="F642" s="125" t="str">
        <f>CHOOSE(MONTH(E642),"January","February","March","April","May","June","July","August","September","October","November","December")</f>
        <v>January</v>
      </c>
      <c r="G642" s="125">
        <f ca="1">DATEDIF(E642,TODAY(),"Y")</f>
        <v>19</v>
      </c>
      <c r="H642" s="125" t="s">
        <v>276</v>
      </c>
      <c r="I642" s="220">
        <v>62965</v>
      </c>
      <c r="J642" s="219">
        <v>1</v>
      </c>
    </row>
    <row r="643" spans="1:10" x14ac:dyDescent="0.25">
      <c r="A643" s="222" t="s">
        <v>360</v>
      </c>
      <c r="B643" s="125" t="s">
        <v>271</v>
      </c>
      <c r="C643" s="125" t="s">
        <v>856</v>
      </c>
      <c r="D643" s="125" t="s">
        <v>252</v>
      </c>
      <c r="E643" s="221">
        <v>34180</v>
      </c>
      <c r="F643" s="125" t="str">
        <f>CHOOSE(MONTH(E643),"January","February","March","April","May","June","July","August","September","October","November","December")</f>
        <v>July</v>
      </c>
      <c r="G643" s="125">
        <f ca="1">DATEDIF(E643,TODAY(),"Y")</f>
        <v>23</v>
      </c>
      <c r="I643" s="220">
        <v>26484</v>
      </c>
      <c r="J643" s="219">
        <v>5</v>
      </c>
    </row>
    <row r="644" spans="1:10" x14ac:dyDescent="0.25">
      <c r="A644" s="222" t="s">
        <v>386</v>
      </c>
      <c r="B644" s="125" t="s">
        <v>271</v>
      </c>
      <c r="C644" s="125" t="s">
        <v>856</v>
      </c>
      <c r="D644" s="125" t="s">
        <v>247</v>
      </c>
      <c r="E644" s="221">
        <v>36406</v>
      </c>
      <c r="F644" s="125" t="str">
        <f>CHOOSE(MONTH(E644),"January","February","March","April","May","June","July","August","September","October","November","December")</f>
        <v>September</v>
      </c>
      <c r="G644" s="125">
        <f ca="1">DATEDIF(E644,TODAY(),"Y")</f>
        <v>17</v>
      </c>
      <c r="I644" s="220">
        <v>60800</v>
      </c>
      <c r="J644" s="219">
        <v>4</v>
      </c>
    </row>
    <row r="645" spans="1:10" x14ac:dyDescent="0.25">
      <c r="A645" s="222" t="s">
        <v>994</v>
      </c>
      <c r="B645" s="125" t="s">
        <v>280</v>
      </c>
      <c r="C645" s="125" t="s">
        <v>856</v>
      </c>
      <c r="D645" s="125" t="s">
        <v>261</v>
      </c>
      <c r="E645" s="221">
        <v>35842</v>
      </c>
      <c r="F645" s="125" t="str">
        <f>CHOOSE(MONTH(E645),"January","February","March","April","May","June","July","August","September","October","November","December")</f>
        <v>February</v>
      </c>
      <c r="G645" s="125">
        <f ca="1">DATEDIF(E645,TODAY(),"Y")</f>
        <v>18</v>
      </c>
      <c r="H645" s="125" t="s">
        <v>267</v>
      </c>
      <c r="I645" s="220">
        <v>39530</v>
      </c>
      <c r="J645" s="219">
        <v>5</v>
      </c>
    </row>
    <row r="646" spans="1:10" x14ac:dyDescent="0.25">
      <c r="A646" s="222" t="s">
        <v>666</v>
      </c>
      <c r="B646" s="125" t="s">
        <v>245</v>
      </c>
      <c r="C646" s="125" t="s">
        <v>856</v>
      </c>
      <c r="D646" s="125" t="s">
        <v>247</v>
      </c>
      <c r="E646" s="221">
        <v>36070</v>
      </c>
      <c r="F646" s="125" t="str">
        <f>CHOOSE(MONTH(E646),"January","February","March","April","May","June","July","August","September","October","November","December")</f>
        <v>October</v>
      </c>
      <c r="G646" s="125">
        <f ca="1">DATEDIF(E646,TODAY(),"Y")</f>
        <v>18</v>
      </c>
      <c r="I646" s="220">
        <v>59050</v>
      </c>
      <c r="J646" s="219">
        <v>4</v>
      </c>
    </row>
    <row r="647" spans="1:10" x14ac:dyDescent="0.25">
      <c r="A647" s="222" t="s">
        <v>356</v>
      </c>
      <c r="B647" s="125" t="s">
        <v>285</v>
      </c>
      <c r="C647" s="125" t="s">
        <v>856</v>
      </c>
      <c r="D647" s="125" t="s">
        <v>256</v>
      </c>
      <c r="E647" s="221">
        <v>36245</v>
      </c>
      <c r="F647" s="125" t="str">
        <f>CHOOSE(MONTH(E647),"January","February","March","April","May","June","July","August","September","October","November","December")</f>
        <v>March</v>
      </c>
      <c r="G647" s="125">
        <f ca="1">DATEDIF(E647,TODAY(),"Y")</f>
        <v>17</v>
      </c>
      <c r="H647" s="125" t="s">
        <v>257</v>
      </c>
      <c r="I647" s="220">
        <v>58410</v>
      </c>
      <c r="J647" s="219">
        <v>5</v>
      </c>
    </row>
    <row r="648" spans="1:10" x14ac:dyDescent="0.25">
      <c r="A648" s="222" t="s">
        <v>694</v>
      </c>
      <c r="B648" s="125" t="s">
        <v>285</v>
      </c>
      <c r="C648" s="125" t="s">
        <v>856</v>
      </c>
      <c r="D648" s="125" t="s">
        <v>256</v>
      </c>
      <c r="E648" s="221">
        <v>35569</v>
      </c>
      <c r="F648" s="125" t="str">
        <f>CHOOSE(MONTH(E648),"January","February","March","April","May","June","July","August","September","October","November","December")</f>
        <v>May</v>
      </c>
      <c r="G648" s="125">
        <f ca="1">DATEDIF(E648,TODAY(),"Y")</f>
        <v>19</v>
      </c>
      <c r="H648" s="125" t="s">
        <v>283</v>
      </c>
      <c r="I648" s="220">
        <v>37770</v>
      </c>
      <c r="J648" s="219">
        <v>5</v>
      </c>
    </row>
    <row r="649" spans="1:10" x14ac:dyDescent="0.25">
      <c r="A649" s="222" t="s">
        <v>847</v>
      </c>
      <c r="B649" s="125" t="s">
        <v>251</v>
      </c>
      <c r="C649" s="125" t="s">
        <v>856</v>
      </c>
      <c r="D649" s="125" t="s">
        <v>247</v>
      </c>
      <c r="E649" s="221">
        <v>37082</v>
      </c>
      <c r="F649" s="125" t="str">
        <f>CHOOSE(MONTH(E649),"January","February","March","April","May","June","July","August","September","October","November","December")</f>
        <v>July</v>
      </c>
      <c r="G649" s="125">
        <f ca="1">DATEDIF(E649,TODAY(),"Y")</f>
        <v>15</v>
      </c>
      <c r="I649" s="220">
        <v>46780</v>
      </c>
      <c r="J649" s="219">
        <v>2</v>
      </c>
    </row>
    <row r="650" spans="1:10" x14ac:dyDescent="0.25">
      <c r="A650" s="222" t="s">
        <v>838</v>
      </c>
      <c r="B650" s="125" t="s">
        <v>285</v>
      </c>
      <c r="C650" s="125" t="s">
        <v>856</v>
      </c>
      <c r="D650" s="125" t="s">
        <v>247</v>
      </c>
      <c r="E650" s="221">
        <v>33914</v>
      </c>
      <c r="F650" s="125" t="str">
        <f>CHOOSE(MONTH(E650),"January","February","March","April","May","June","July","August","September","October","November","December")</f>
        <v>November</v>
      </c>
      <c r="G650" s="125">
        <f ca="1">DATEDIF(E650,TODAY(),"Y")</f>
        <v>24</v>
      </c>
      <c r="I650" s="220">
        <v>55690</v>
      </c>
      <c r="J650" s="219">
        <v>2</v>
      </c>
    </row>
    <row r="651" spans="1:10" x14ac:dyDescent="0.25">
      <c r="A651" s="222" t="s">
        <v>282</v>
      </c>
      <c r="B651" s="125" t="s">
        <v>285</v>
      </c>
      <c r="C651" s="125" t="s">
        <v>856</v>
      </c>
      <c r="D651" s="125" t="s">
        <v>261</v>
      </c>
      <c r="E651" s="221">
        <v>36423</v>
      </c>
      <c r="F651" s="125" t="str">
        <f>CHOOSE(MONTH(E651),"January","February","March","April","May","June","July","August","September","October","November","December")</f>
        <v>September</v>
      </c>
      <c r="G651" s="125">
        <f ca="1">DATEDIF(E651,TODAY(),"Y")</f>
        <v>17</v>
      </c>
      <c r="H651" s="125" t="s">
        <v>276</v>
      </c>
      <c r="I651" s="220">
        <v>47350</v>
      </c>
      <c r="J651" s="219">
        <v>1</v>
      </c>
    </row>
    <row r="652" spans="1:10" x14ac:dyDescent="0.25">
      <c r="A652" s="222" t="s">
        <v>621</v>
      </c>
      <c r="B652" s="125" t="s">
        <v>285</v>
      </c>
      <c r="C652" s="125" t="s">
        <v>856</v>
      </c>
      <c r="D652" s="125" t="s">
        <v>247</v>
      </c>
      <c r="E652" s="221">
        <v>36479</v>
      </c>
      <c r="F652" s="125" t="str">
        <f>CHOOSE(MONTH(E652),"January","February","March","April","May","June","July","August","September","October","November","December")</f>
        <v>November</v>
      </c>
      <c r="G652" s="125">
        <f ca="1">DATEDIF(E652,TODAY(),"Y")</f>
        <v>16</v>
      </c>
      <c r="I652" s="220">
        <v>54840</v>
      </c>
      <c r="J652" s="219">
        <v>4</v>
      </c>
    </row>
    <row r="653" spans="1:10" x14ac:dyDescent="0.25">
      <c r="A653" s="222" t="s">
        <v>867</v>
      </c>
      <c r="B653" s="125" t="s">
        <v>285</v>
      </c>
      <c r="C653" s="125" t="s">
        <v>856</v>
      </c>
      <c r="D653" s="125" t="s">
        <v>256</v>
      </c>
      <c r="E653" s="221">
        <v>33604</v>
      </c>
      <c r="F653" s="125" t="str">
        <f>CHOOSE(MONTH(E653),"January","February","March","April","May","June","July","August","September","October","November","December")</f>
        <v>January</v>
      </c>
      <c r="G653" s="125">
        <f ca="1">DATEDIF(E653,TODAY(),"Y")</f>
        <v>24</v>
      </c>
      <c r="H653" s="125" t="s">
        <v>257</v>
      </c>
      <c r="I653" s="220">
        <v>54830</v>
      </c>
      <c r="J653" s="219">
        <v>1</v>
      </c>
    </row>
    <row r="654" spans="1:10" x14ac:dyDescent="0.25">
      <c r="A654" s="222" t="s">
        <v>660</v>
      </c>
      <c r="B654" s="125" t="s">
        <v>245</v>
      </c>
      <c r="C654" s="125" t="s">
        <v>856</v>
      </c>
      <c r="D654" s="125" t="s">
        <v>256</v>
      </c>
      <c r="E654" s="221">
        <v>34010</v>
      </c>
      <c r="F654" s="125" t="str">
        <f>CHOOSE(MONTH(E654),"January","February","March","April","May","June","July","August","September","October","November","December")</f>
        <v>February</v>
      </c>
      <c r="G654" s="125">
        <f ca="1">DATEDIF(E654,TODAY(),"Y")</f>
        <v>23</v>
      </c>
      <c r="H654" s="125" t="s">
        <v>257</v>
      </c>
      <c r="I654" s="220">
        <v>54270</v>
      </c>
      <c r="J654" s="219">
        <v>3</v>
      </c>
    </row>
    <row r="655" spans="1:10" x14ac:dyDescent="0.25">
      <c r="A655" s="222" t="s">
        <v>1016</v>
      </c>
      <c r="B655" s="125" t="s">
        <v>285</v>
      </c>
      <c r="C655" s="125" t="s">
        <v>856</v>
      </c>
      <c r="D655" s="125" t="s">
        <v>256</v>
      </c>
      <c r="E655" s="221">
        <v>34160</v>
      </c>
      <c r="F655" s="125" t="str">
        <f>CHOOSE(MONTH(E655),"January","February","March","April","May","June","July","August","September","October","November","December")</f>
        <v>July</v>
      </c>
      <c r="G655" s="125">
        <f ca="1">DATEDIF(E655,TODAY(),"Y")</f>
        <v>23</v>
      </c>
      <c r="H655" s="125" t="s">
        <v>257</v>
      </c>
      <c r="I655" s="220">
        <v>54200</v>
      </c>
      <c r="J655" s="219">
        <v>4</v>
      </c>
    </row>
    <row r="656" spans="1:10" x14ac:dyDescent="0.25">
      <c r="A656" s="222" t="s">
        <v>759</v>
      </c>
      <c r="B656" s="125" t="s">
        <v>285</v>
      </c>
      <c r="C656" s="125" t="s">
        <v>856</v>
      </c>
      <c r="D656" s="125" t="s">
        <v>256</v>
      </c>
      <c r="E656" s="221">
        <v>33222</v>
      </c>
      <c r="F656" s="125" t="str">
        <f>CHOOSE(MONTH(E656),"January","February","March","April","May","June","July","August","September","October","November","December")</f>
        <v>December</v>
      </c>
      <c r="G656" s="125">
        <f ca="1">DATEDIF(E656,TODAY(),"Y")</f>
        <v>25</v>
      </c>
      <c r="H656" s="125" t="s">
        <v>257</v>
      </c>
      <c r="I656" s="220">
        <v>53900</v>
      </c>
      <c r="J656" s="219">
        <v>5</v>
      </c>
    </row>
    <row r="657" spans="1:10" x14ac:dyDescent="0.25">
      <c r="A657" s="222" t="s">
        <v>758</v>
      </c>
      <c r="B657" s="125" t="s">
        <v>285</v>
      </c>
      <c r="C657" s="125" t="s">
        <v>856</v>
      </c>
      <c r="D657" s="125" t="s">
        <v>247</v>
      </c>
      <c r="E657" s="221">
        <v>36214</v>
      </c>
      <c r="F657" s="125" t="str">
        <f>CHOOSE(MONTH(E657),"January","February","March","April","May","June","July","August","September","October","November","December")</f>
        <v>February</v>
      </c>
      <c r="G657" s="125">
        <f ca="1">DATEDIF(E657,TODAY(),"Y")</f>
        <v>17</v>
      </c>
      <c r="I657" s="220">
        <v>53310</v>
      </c>
      <c r="J657" s="219">
        <v>5</v>
      </c>
    </row>
    <row r="658" spans="1:10" x14ac:dyDescent="0.25">
      <c r="A658" s="222" t="s">
        <v>752</v>
      </c>
      <c r="B658" s="125" t="s">
        <v>266</v>
      </c>
      <c r="C658" s="125" t="s">
        <v>856</v>
      </c>
      <c r="D658" s="125" t="s">
        <v>261</v>
      </c>
      <c r="E658" s="221">
        <v>33890</v>
      </c>
      <c r="F658" s="125" t="str">
        <f>CHOOSE(MONTH(E658),"January","February","March","April","May","June","July","August","September","October","November","December")</f>
        <v>October</v>
      </c>
      <c r="G658" s="125">
        <f ca="1">DATEDIF(E658,TODAY(),"Y")</f>
        <v>24</v>
      </c>
      <c r="H658" s="125" t="s">
        <v>283</v>
      </c>
      <c r="I658" s="220">
        <v>25885</v>
      </c>
      <c r="J658" s="219">
        <v>5</v>
      </c>
    </row>
    <row r="659" spans="1:10" x14ac:dyDescent="0.25">
      <c r="A659" s="223" t="s">
        <v>930</v>
      </c>
    </row>
    <row r="660" spans="1:10" x14ac:dyDescent="0.25">
      <c r="A660" s="222" t="s">
        <v>741</v>
      </c>
      <c r="B660" s="125" t="s">
        <v>266</v>
      </c>
      <c r="C660" s="125" t="s">
        <v>930</v>
      </c>
      <c r="D660" s="125" t="s">
        <v>247</v>
      </c>
      <c r="E660" s="221">
        <v>37453</v>
      </c>
      <c r="F660" s="125" t="str">
        <f>CHOOSE(MONTH(E660),"January","February","March","April","May","June","July","August","September","October","November","December")</f>
        <v>July</v>
      </c>
      <c r="G660" s="125">
        <f ca="1">DATEDIF(E660,TODAY(),"Y")</f>
        <v>14</v>
      </c>
      <c r="I660" s="220">
        <v>49090</v>
      </c>
      <c r="J660" s="219">
        <v>4</v>
      </c>
    </row>
    <row r="661" spans="1:10" x14ac:dyDescent="0.25">
      <c r="A661" s="222" t="s">
        <v>462</v>
      </c>
      <c r="B661" s="125" t="s">
        <v>266</v>
      </c>
      <c r="C661" s="125" t="s">
        <v>930</v>
      </c>
      <c r="D661" s="125" t="s">
        <v>252</v>
      </c>
      <c r="E661" s="221">
        <v>36458</v>
      </c>
      <c r="F661" s="125" t="str">
        <f>CHOOSE(MONTH(E661),"January","February","March","April","May","June","July","August","September","October","November","December")</f>
        <v>October</v>
      </c>
      <c r="G661" s="125">
        <f ca="1">DATEDIF(E661,TODAY(),"Y")</f>
        <v>17</v>
      </c>
      <c r="I661" s="220">
        <v>32536</v>
      </c>
      <c r="J661" s="219">
        <v>2</v>
      </c>
    </row>
    <row r="662" spans="1:10" x14ac:dyDescent="0.25">
      <c r="A662" s="222" t="s">
        <v>1030</v>
      </c>
      <c r="B662" s="125" t="s">
        <v>280</v>
      </c>
      <c r="C662" s="125" t="s">
        <v>930</v>
      </c>
      <c r="D662" s="125" t="s">
        <v>256</v>
      </c>
      <c r="E662" s="221">
        <v>39679</v>
      </c>
      <c r="F662" s="125" t="str">
        <f>CHOOSE(MONTH(E662),"January","February","March","April","May","June","July","August","September","October","November","December")</f>
        <v>August</v>
      </c>
      <c r="G662" s="125">
        <f ca="1">DATEDIF(E662,TODAY(),"Y")</f>
        <v>8</v>
      </c>
      <c r="H662" s="125" t="s">
        <v>257</v>
      </c>
      <c r="I662" s="220">
        <v>22820</v>
      </c>
      <c r="J662" s="219">
        <v>5</v>
      </c>
    </row>
    <row r="663" spans="1:10" x14ac:dyDescent="0.25">
      <c r="A663" s="222" t="s">
        <v>508</v>
      </c>
      <c r="B663" s="125" t="s">
        <v>271</v>
      </c>
      <c r="C663" s="125" t="s">
        <v>930</v>
      </c>
      <c r="D663" s="125" t="s">
        <v>247</v>
      </c>
      <c r="E663" s="221">
        <v>37099</v>
      </c>
      <c r="F663" s="125" t="str">
        <f>CHOOSE(MONTH(E663),"January","February","March","April","May","June","July","August","September","October","November","December")</f>
        <v>July</v>
      </c>
      <c r="G663" s="125">
        <f ca="1">DATEDIF(E663,TODAY(),"Y")</f>
        <v>15</v>
      </c>
      <c r="I663" s="220">
        <v>28270</v>
      </c>
      <c r="J663" s="219">
        <v>5</v>
      </c>
    </row>
    <row r="664" spans="1:10" x14ac:dyDescent="0.25">
      <c r="A664" s="222" t="s">
        <v>467</v>
      </c>
      <c r="B664" s="125" t="s">
        <v>245</v>
      </c>
      <c r="C664" s="125" t="s">
        <v>930</v>
      </c>
      <c r="D664" s="125" t="s">
        <v>247</v>
      </c>
      <c r="E664" s="221">
        <v>33401</v>
      </c>
      <c r="F664" s="125" t="str">
        <f>CHOOSE(MONTH(E664),"January","February","March","April","May","June","July","August","September","October","November","December")</f>
        <v>June</v>
      </c>
      <c r="G664" s="125">
        <f ca="1">DATEDIF(E664,TODAY(),"Y")</f>
        <v>25</v>
      </c>
      <c r="I664" s="220">
        <v>34680</v>
      </c>
      <c r="J664" s="219">
        <v>5</v>
      </c>
    </row>
    <row r="665" spans="1:10" x14ac:dyDescent="0.25">
      <c r="A665" s="222" t="s">
        <v>536</v>
      </c>
      <c r="B665" s="125" t="s">
        <v>280</v>
      </c>
      <c r="C665" s="125" t="s">
        <v>930</v>
      </c>
      <c r="D665" s="125" t="s">
        <v>247</v>
      </c>
      <c r="E665" s="221">
        <v>35338</v>
      </c>
      <c r="F665" s="125" t="str">
        <f>CHOOSE(MONTH(E665),"January","February","March","April","May","June","July","August","September","October","November","December")</f>
        <v>September</v>
      </c>
      <c r="G665" s="125">
        <f ca="1">DATEDIF(E665,TODAY(),"Y")</f>
        <v>20</v>
      </c>
      <c r="I665" s="220">
        <v>87830</v>
      </c>
      <c r="J665" s="219">
        <v>2</v>
      </c>
    </row>
    <row r="666" spans="1:10" x14ac:dyDescent="0.25">
      <c r="A666" s="222" t="s">
        <v>255</v>
      </c>
      <c r="B666" s="125" t="s">
        <v>285</v>
      </c>
      <c r="C666" s="125" t="s">
        <v>930</v>
      </c>
      <c r="D666" s="125" t="s">
        <v>261</v>
      </c>
      <c r="E666" s="221">
        <v>36462</v>
      </c>
      <c r="F666" s="125" t="str">
        <f>CHOOSE(MONTH(E666),"January","February","March","April","May","June","July","August","September","October","November","December")</f>
        <v>October</v>
      </c>
      <c r="G666" s="125">
        <f ca="1">DATEDIF(E666,TODAY(),"Y")</f>
        <v>17</v>
      </c>
      <c r="H666" s="125" t="s">
        <v>283</v>
      </c>
      <c r="I666" s="220">
        <v>26185</v>
      </c>
      <c r="J666" s="219">
        <v>5</v>
      </c>
    </row>
    <row r="667" spans="1:10" x14ac:dyDescent="0.25">
      <c r="A667" s="222" t="s">
        <v>815</v>
      </c>
      <c r="B667" s="125" t="s">
        <v>285</v>
      </c>
      <c r="C667" s="125" t="s">
        <v>930</v>
      </c>
      <c r="D667" s="125" t="s">
        <v>256</v>
      </c>
      <c r="E667" s="221">
        <v>34286</v>
      </c>
      <c r="F667" s="125" t="str">
        <f>CHOOSE(MONTH(E667),"January","February","March","April","May","June","July","August","September","October","November","December")</f>
        <v>November</v>
      </c>
      <c r="G667" s="125">
        <f ca="1">DATEDIF(E667,TODAY(),"Y")</f>
        <v>22</v>
      </c>
      <c r="H667" s="125" t="s">
        <v>283</v>
      </c>
      <c r="I667" s="220">
        <v>87220</v>
      </c>
      <c r="J667" s="219">
        <v>1</v>
      </c>
    </row>
    <row r="668" spans="1:10" x14ac:dyDescent="0.25">
      <c r="A668" s="222" t="s">
        <v>645</v>
      </c>
      <c r="B668" s="125" t="s">
        <v>271</v>
      </c>
      <c r="C668" s="125" t="s">
        <v>930</v>
      </c>
      <c r="D668" s="125" t="s">
        <v>256</v>
      </c>
      <c r="E668" s="221">
        <v>40637</v>
      </c>
      <c r="F668" s="125" t="str">
        <f>CHOOSE(MONTH(E668),"January","February","March","April","May","June","July","August","September","October","November","December")</f>
        <v>April</v>
      </c>
      <c r="G668" s="125">
        <f ca="1">DATEDIF(E668,TODAY(),"Y")</f>
        <v>5</v>
      </c>
      <c r="H668" s="125" t="s">
        <v>257</v>
      </c>
      <c r="I668" s="220">
        <v>86640</v>
      </c>
      <c r="J668" s="219">
        <v>3</v>
      </c>
    </row>
    <row r="669" spans="1:10" x14ac:dyDescent="0.25">
      <c r="A669" s="222" t="s">
        <v>883</v>
      </c>
      <c r="B669" s="125" t="s">
        <v>280</v>
      </c>
      <c r="C669" s="125" t="s">
        <v>930</v>
      </c>
      <c r="D669" s="125" t="s">
        <v>261</v>
      </c>
      <c r="E669" s="221">
        <v>39535</v>
      </c>
      <c r="F669" s="125" t="str">
        <f>CHOOSE(MONTH(E669),"January","February","March","April","May","June","July","August","September","October","November","December")</f>
        <v>March</v>
      </c>
      <c r="G669" s="125">
        <f ca="1">DATEDIF(E669,TODAY(),"Y")</f>
        <v>8</v>
      </c>
      <c r="H669" s="125" t="s">
        <v>276</v>
      </c>
      <c r="I669" s="220">
        <v>49080</v>
      </c>
      <c r="J669" s="219">
        <v>5</v>
      </c>
    </row>
    <row r="670" spans="1:10" x14ac:dyDescent="0.25">
      <c r="A670" s="222" t="s">
        <v>884</v>
      </c>
      <c r="B670" s="125" t="s">
        <v>266</v>
      </c>
      <c r="C670" s="125" t="s">
        <v>930</v>
      </c>
      <c r="D670" s="125" t="s">
        <v>256</v>
      </c>
      <c r="E670" s="221">
        <v>35776</v>
      </c>
      <c r="F670" s="125" t="str">
        <f>CHOOSE(MONTH(E670),"January","February","March","April","May","June","July","August","September","October","November","December")</f>
        <v>December</v>
      </c>
      <c r="G670" s="125">
        <f ca="1">DATEDIF(E670,TODAY(),"Y")</f>
        <v>18</v>
      </c>
      <c r="H670" s="125" t="s">
        <v>257</v>
      </c>
      <c r="I670" s="220">
        <v>86320</v>
      </c>
      <c r="J670" s="219">
        <v>4</v>
      </c>
    </row>
    <row r="671" spans="1:10" x14ac:dyDescent="0.25">
      <c r="A671" s="222" t="s">
        <v>721</v>
      </c>
      <c r="B671" s="125" t="s">
        <v>271</v>
      </c>
      <c r="C671" s="125" t="s">
        <v>930</v>
      </c>
      <c r="D671" s="125" t="s">
        <v>256</v>
      </c>
      <c r="E671" s="221">
        <v>40018</v>
      </c>
      <c r="F671" s="125" t="str">
        <f>CHOOSE(MONTH(E671),"January","February","March","April","May","June","July","August","September","October","November","December")</f>
        <v>July</v>
      </c>
      <c r="G671" s="125">
        <f ca="1">DATEDIF(E671,TODAY(),"Y")</f>
        <v>7</v>
      </c>
      <c r="H671" s="125" t="s">
        <v>283</v>
      </c>
      <c r="I671" s="220">
        <v>34990</v>
      </c>
      <c r="J671" s="219">
        <v>3</v>
      </c>
    </row>
    <row r="672" spans="1:10" x14ac:dyDescent="0.25">
      <c r="A672" s="222" t="s">
        <v>446</v>
      </c>
      <c r="B672" s="125" t="s">
        <v>245</v>
      </c>
      <c r="C672" s="125" t="s">
        <v>930</v>
      </c>
      <c r="D672" s="125" t="s">
        <v>247</v>
      </c>
      <c r="E672" s="221">
        <v>39728</v>
      </c>
      <c r="F672" s="125" t="str">
        <f>CHOOSE(MONTH(E672),"January","February","March","April","May","June","July","August","September","October","November","December")</f>
        <v>October</v>
      </c>
      <c r="G672" s="125">
        <f ca="1">DATEDIF(E672,TODAY(),"Y")</f>
        <v>8</v>
      </c>
      <c r="I672" s="220">
        <v>86040</v>
      </c>
      <c r="J672" s="219">
        <v>5</v>
      </c>
    </row>
    <row r="673" spans="1:10" x14ac:dyDescent="0.25">
      <c r="A673" s="222" t="s">
        <v>693</v>
      </c>
      <c r="B673" s="125" t="s">
        <v>285</v>
      </c>
      <c r="C673" s="125" t="s">
        <v>930</v>
      </c>
      <c r="D673" s="125" t="s">
        <v>247</v>
      </c>
      <c r="E673" s="221">
        <v>40523</v>
      </c>
      <c r="F673" s="125" t="str">
        <f>CHOOSE(MONTH(E673),"January","February","March","April","May","June","July","August","September","October","November","December")</f>
        <v>December</v>
      </c>
      <c r="G673" s="125">
        <f ca="1">DATEDIF(E673,TODAY(),"Y")</f>
        <v>5</v>
      </c>
      <c r="I673" s="220">
        <v>46570</v>
      </c>
      <c r="J673" s="219">
        <v>4</v>
      </c>
    </row>
    <row r="674" spans="1:10" x14ac:dyDescent="0.25">
      <c r="A674" s="222" t="s">
        <v>566</v>
      </c>
      <c r="B674" s="125" t="s">
        <v>280</v>
      </c>
      <c r="C674" s="125" t="s">
        <v>930</v>
      </c>
      <c r="D674" s="125" t="s">
        <v>256</v>
      </c>
      <c r="E674" s="221">
        <v>33978</v>
      </c>
      <c r="F674" s="125" t="str">
        <f>CHOOSE(MONTH(E674),"January","February","March","April","May","June","July","August","September","October","November","December")</f>
        <v>January</v>
      </c>
      <c r="G674" s="125">
        <f ca="1">DATEDIF(E674,TODAY(),"Y")</f>
        <v>23</v>
      </c>
      <c r="H674" s="125" t="s">
        <v>283</v>
      </c>
      <c r="I674" s="220">
        <v>46410</v>
      </c>
      <c r="J674" s="219">
        <v>2</v>
      </c>
    </row>
    <row r="675" spans="1:10" x14ac:dyDescent="0.25">
      <c r="A675" s="222" t="s">
        <v>576</v>
      </c>
      <c r="B675" s="125" t="s">
        <v>245</v>
      </c>
      <c r="C675" s="125" t="s">
        <v>930</v>
      </c>
      <c r="D675" s="125" t="s">
        <v>252</v>
      </c>
      <c r="E675" s="221">
        <v>38646</v>
      </c>
      <c r="F675" s="125" t="str">
        <f>CHOOSE(MONTH(E675),"January","February","March","April","May","June","July","August","September","October","November","December")</f>
        <v>October</v>
      </c>
      <c r="G675" s="125">
        <f ca="1">DATEDIF(E675,TODAY(),"Y")</f>
        <v>11</v>
      </c>
      <c r="I675" s="220">
        <v>37344</v>
      </c>
      <c r="J675" s="219">
        <v>2</v>
      </c>
    </row>
    <row r="676" spans="1:10" x14ac:dyDescent="0.25">
      <c r="A676" s="222" t="s">
        <v>664</v>
      </c>
      <c r="B676" s="125" t="s">
        <v>285</v>
      </c>
      <c r="C676" s="125" t="s">
        <v>930</v>
      </c>
      <c r="D676" s="125" t="s">
        <v>256</v>
      </c>
      <c r="E676" s="221">
        <v>39728</v>
      </c>
      <c r="F676" s="125" t="str">
        <f>CHOOSE(MONTH(E676),"January","February","March","April","May","June","July","August","September","October","November","December")</f>
        <v>October</v>
      </c>
      <c r="G676" s="125">
        <f ca="1">DATEDIF(E676,TODAY(),"Y")</f>
        <v>8</v>
      </c>
      <c r="H676" s="125" t="s">
        <v>257</v>
      </c>
      <c r="I676" s="220">
        <v>82370</v>
      </c>
      <c r="J676" s="219">
        <v>5</v>
      </c>
    </row>
    <row r="677" spans="1:10" x14ac:dyDescent="0.25">
      <c r="A677" s="222" t="s">
        <v>295</v>
      </c>
      <c r="B677" s="125" t="s">
        <v>245</v>
      </c>
      <c r="C677" s="125" t="s">
        <v>930</v>
      </c>
      <c r="D677" s="125" t="s">
        <v>256</v>
      </c>
      <c r="E677" s="221">
        <v>38347</v>
      </c>
      <c r="F677" s="125" t="str">
        <f>CHOOSE(MONTH(E677),"January","February","March","April","May","June","July","August","September","October","November","December")</f>
        <v>December</v>
      </c>
      <c r="G677" s="125">
        <f ca="1">DATEDIF(E677,TODAY(),"Y")</f>
        <v>11</v>
      </c>
      <c r="H677" s="125" t="s">
        <v>283</v>
      </c>
      <c r="I677" s="220">
        <v>81340</v>
      </c>
      <c r="J677" s="219">
        <v>2</v>
      </c>
    </row>
    <row r="678" spans="1:10" x14ac:dyDescent="0.25">
      <c r="A678" s="222" t="s">
        <v>298</v>
      </c>
      <c r="B678" s="125" t="s">
        <v>285</v>
      </c>
      <c r="C678" s="125" t="s">
        <v>930</v>
      </c>
      <c r="D678" s="125" t="s">
        <v>247</v>
      </c>
      <c r="E678" s="221">
        <v>40235</v>
      </c>
      <c r="F678" s="125" t="str">
        <f>CHOOSE(MONTH(E678),"January","February","March","April","May","June","July","August","September","October","November","December")</f>
        <v>February</v>
      </c>
      <c r="G678" s="125">
        <f ca="1">DATEDIF(E678,TODAY(),"Y")</f>
        <v>6</v>
      </c>
      <c r="I678" s="220">
        <v>80729</v>
      </c>
      <c r="J678" s="219">
        <v>3</v>
      </c>
    </row>
    <row r="679" spans="1:10" x14ac:dyDescent="0.25">
      <c r="A679" s="222" t="s">
        <v>520</v>
      </c>
      <c r="B679" s="125" t="s">
        <v>285</v>
      </c>
      <c r="C679" s="125" t="s">
        <v>930</v>
      </c>
      <c r="D679" s="125" t="s">
        <v>247</v>
      </c>
      <c r="E679" s="221">
        <v>34534</v>
      </c>
      <c r="F679" s="125" t="str">
        <f>CHOOSE(MONTH(E679),"January","February","March","April","May","June","July","August","September","October","November","December")</f>
        <v>July</v>
      </c>
      <c r="G679" s="125">
        <f ca="1">DATEDIF(E679,TODAY(),"Y")</f>
        <v>22</v>
      </c>
      <c r="I679" s="220">
        <v>45105</v>
      </c>
      <c r="J679" s="219">
        <v>1</v>
      </c>
    </row>
    <row r="680" spans="1:10" x14ac:dyDescent="0.25">
      <c r="A680" s="222" t="s">
        <v>938</v>
      </c>
      <c r="B680" s="125" t="s">
        <v>285</v>
      </c>
      <c r="C680" s="125" t="s">
        <v>930</v>
      </c>
      <c r="D680" s="125" t="s">
        <v>256</v>
      </c>
      <c r="E680" s="221">
        <v>35137</v>
      </c>
      <c r="F680" s="125" t="str">
        <f>CHOOSE(MONTH(E680),"January","February","March","April","May","June","July","August","September","October","November","December")</f>
        <v>March</v>
      </c>
      <c r="G680" s="125">
        <f ca="1">DATEDIF(E680,TODAY(),"Y")</f>
        <v>20</v>
      </c>
      <c r="H680" s="125" t="s">
        <v>283</v>
      </c>
      <c r="I680" s="220">
        <v>33590</v>
      </c>
      <c r="J680" s="219">
        <v>5</v>
      </c>
    </row>
    <row r="681" spans="1:10" x14ac:dyDescent="0.25">
      <c r="A681" s="222" t="s">
        <v>986</v>
      </c>
      <c r="B681" s="125" t="s">
        <v>245</v>
      </c>
      <c r="C681" s="125" t="s">
        <v>930</v>
      </c>
      <c r="D681" s="125" t="s">
        <v>256</v>
      </c>
      <c r="E681" s="221">
        <v>39602</v>
      </c>
      <c r="F681" s="125" t="str">
        <f>CHOOSE(MONTH(E681),"January","February","March","April","May","June","July","August","September","October","November","December")</f>
        <v>June</v>
      </c>
      <c r="G681" s="125">
        <f ca="1">DATEDIF(E681,TODAY(),"Y")</f>
        <v>8</v>
      </c>
      <c r="H681" s="125" t="s">
        <v>257</v>
      </c>
      <c r="I681" s="220">
        <v>79380</v>
      </c>
      <c r="J681" s="219">
        <v>5</v>
      </c>
    </row>
    <row r="682" spans="1:10" x14ac:dyDescent="0.25">
      <c r="A682" s="222" t="s">
        <v>284</v>
      </c>
      <c r="B682" s="125" t="s">
        <v>271</v>
      </c>
      <c r="C682" s="125" t="s">
        <v>930</v>
      </c>
      <c r="D682" s="125" t="s">
        <v>261</v>
      </c>
      <c r="E682" s="221">
        <v>34154</v>
      </c>
      <c r="F682" s="125" t="str">
        <f>CHOOSE(MONTH(E682),"January","February","March","April","May","June","July","August","September","October","November","December")</f>
        <v>July</v>
      </c>
      <c r="G682" s="125">
        <f ca="1">DATEDIF(E682,TODAY(),"Y")</f>
        <v>23</v>
      </c>
      <c r="H682" s="125" t="s">
        <v>257</v>
      </c>
      <c r="I682" s="220">
        <v>49545</v>
      </c>
      <c r="J682" s="219">
        <v>2</v>
      </c>
    </row>
    <row r="683" spans="1:10" x14ac:dyDescent="0.25">
      <c r="A683" s="222" t="s">
        <v>517</v>
      </c>
      <c r="B683" s="125" t="s">
        <v>251</v>
      </c>
      <c r="C683" s="125" t="s">
        <v>930</v>
      </c>
      <c r="D683" s="125" t="s">
        <v>256</v>
      </c>
      <c r="E683" s="221">
        <v>37009</v>
      </c>
      <c r="F683" s="125" t="str">
        <f>CHOOSE(MONTH(E683),"January","February","March","April","May","June","July","August","September","October","November","December")</f>
        <v>April</v>
      </c>
      <c r="G683" s="125">
        <f ca="1">DATEDIF(E683,TODAY(),"Y")</f>
        <v>15</v>
      </c>
      <c r="H683" s="125" t="s">
        <v>283</v>
      </c>
      <c r="I683" s="220">
        <v>78710</v>
      </c>
      <c r="J683" s="219">
        <v>2</v>
      </c>
    </row>
    <row r="684" spans="1:10" x14ac:dyDescent="0.25">
      <c r="A684" s="222" t="s">
        <v>1059</v>
      </c>
      <c r="B684" s="125" t="s">
        <v>280</v>
      </c>
      <c r="C684" s="125" t="s">
        <v>930</v>
      </c>
      <c r="D684" s="125" t="s">
        <v>247</v>
      </c>
      <c r="E684" s="221">
        <v>34135</v>
      </c>
      <c r="F684" s="125" t="str">
        <f>CHOOSE(MONTH(E684),"January","February","March","April","May","June","July","August","September","October","November","December")</f>
        <v>June</v>
      </c>
      <c r="G684" s="125">
        <f ca="1">DATEDIF(E684,TODAY(),"Y")</f>
        <v>23</v>
      </c>
      <c r="I684" s="220">
        <v>78590</v>
      </c>
      <c r="J684" s="219">
        <v>1</v>
      </c>
    </row>
    <row r="685" spans="1:10" x14ac:dyDescent="0.25">
      <c r="A685" s="222" t="s">
        <v>981</v>
      </c>
      <c r="B685" s="125" t="s">
        <v>251</v>
      </c>
      <c r="C685" s="125" t="s">
        <v>930</v>
      </c>
      <c r="D685" s="125" t="s">
        <v>261</v>
      </c>
      <c r="E685" s="221">
        <v>36365</v>
      </c>
      <c r="F685" s="125" t="str">
        <f>CHOOSE(MONTH(E685),"January","February","March","April","May","June","July","August","September","October","November","December")</f>
        <v>July</v>
      </c>
      <c r="G685" s="125">
        <f ca="1">DATEDIF(E685,TODAY(),"Y")</f>
        <v>17</v>
      </c>
      <c r="H685" s="125" t="s">
        <v>267</v>
      </c>
      <c r="I685" s="220">
        <v>19825</v>
      </c>
      <c r="J685" s="219">
        <v>2</v>
      </c>
    </row>
    <row r="686" spans="1:10" x14ac:dyDescent="0.25">
      <c r="A686" s="222" t="s">
        <v>598</v>
      </c>
      <c r="B686" s="125" t="s">
        <v>285</v>
      </c>
      <c r="C686" s="125" t="s">
        <v>930</v>
      </c>
      <c r="D686" s="125" t="s">
        <v>261</v>
      </c>
      <c r="E686" s="221">
        <v>33391</v>
      </c>
      <c r="F686" s="125" t="str">
        <f>CHOOSE(MONTH(E686),"January","February","March","April","May","June","July","August","September","October","November","December")</f>
        <v>June</v>
      </c>
      <c r="G686" s="125">
        <f ca="1">DATEDIF(E686,TODAY(),"Y")</f>
        <v>25</v>
      </c>
      <c r="H686" s="125" t="s">
        <v>283</v>
      </c>
      <c r="I686" s="220">
        <v>13455</v>
      </c>
      <c r="J686" s="219">
        <v>2</v>
      </c>
    </row>
    <row r="687" spans="1:10" x14ac:dyDescent="0.25">
      <c r="A687" s="222" t="s">
        <v>395</v>
      </c>
      <c r="B687" s="125" t="s">
        <v>285</v>
      </c>
      <c r="C687" s="125" t="s">
        <v>930</v>
      </c>
      <c r="D687" s="125" t="s">
        <v>252</v>
      </c>
      <c r="E687" s="221">
        <v>35247</v>
      </c>
      <c r="F687" s="125" t="str">
        <f>CHOOSE(MONTH(E687),"January","February","March","April","May","June","July","August","September","October","November","December")</f>
        <v>July</v>
      </c>
      <c r="G687" s="125">
        <f ca="1">DATEDIF(E687,TODAY(),"Y")</f>
        <v>20</v>
      </c>
      <c r="I687" s="220">
        <v>33752</v>
      </c>
      <c r="J687" s="219">
        <v>3</v>
      </c>
    </row>
    <row r="688" spans="1:10" x14ac:dyDescent="0.25">
      <c r="A688" s="222" t="s">
        <v>567</v>
      </c>
      <c r="B688" s="125" t="s">
        <v>285</v>
      </c>
      <c r="C688" s="125" t="s">
        <v>930</v>
      </c>
      <c r="D688" s="125" t="s">
        <v>256</v>
      </c>
      <c r="E688" s="221">
        <v>35627</v>
      </c>
      <c r="F688" s="125" t="str">
        <f>CHOOSE(MONTH(E688),"January","February","March","April","May","June","July","August","September","October","November","December")</f>
        <v>July</v>
      </c>
      <c r="G688" s="125">
        <f ca="1">DATEDIF(E688,TODAY(),"Y")</f>
        <v>19</v>
      </c>
      <c r="H688" s="125" t="s">
        <v>283</v>
      </c>
      <c r="I688" s="220">
        <v>41380</v>
      </c>
      <c r="J688" s="219">
        <v>2</v>
      </c>
    </row>
    <row r="689" spans="1:10" x14ac:dyDescent="0.25">
      <c r="A689" s="222" t="s">
        <v>366</v>
      </c>
      <c r="B689" s="125" t="s">
        <v>280</v>
      </c>
      <c r="C689" s="125" t="s">
        <v>930</v>
      </c>
      <c r="D689" s="125" t="s">
        <v>256</v>
      </c>
      <c r="E689" s="221">
        <v>36243</v>
      </c>
      <c r="F689" s="125" t="str">
        <f>CHOOSE(MONTH(E689),"January","February","March","April","May","June","July","August","September","October","November","December")</f>
        <v>March</v>
      </c>
      <c r="G689" s="125">
        <f ca="1">DATEDIF(E689,TODAY(),"Y")</f>
        <v>17</v>
      </c>
      <c r="H689" s="125" t="s">
        <v>276</v>
      </c>
      <c r="I689" s="220">
        <v>77680</v>
      </c>
      <c r="J689" s="219">
        <v>3</v>
      </c>
    </row>
    <row r="690" spans="1:10" x14ac:dyDescent="0.25">
      <c r="A690" s="222" t="s">
        <v>463</v>
      </c>
      <c r="B690" s="125" t="s">
        <v>266</v>
      </c>
      <c r="C690" s="125" t="s">
        <v>930</v>
      </c>
      <c r="D690" s="125" t="s">
        <v>247</v>
      </c>
      <c r="E690" s="221">
        <v>37065</v>
      </c>
      <c r="F690" s="125" t="str">
        <f>CHOOSE(MONTH(E690),"January","February","March","April","May","June","July","August","September","October","November","December")</f>
        <v>June</v>
      </c>
      <c r="G690" s="125">
        <f ca="1">DATEDIF(E690,TODAY(),"Y")</f>
        <v>15</v>
      </c>
      <c r="I690" s="220">
        <v>77136</v>
      </c>
      <c r="J690" s="219">
        <v>5</v>
      </c>
    </row>
    <row r="691" spans="1:10" x14ac:dyDescent="0.25">
      <c r="A691" s="222" t="s">
        <v>746</v>
      </c>
      <c r="B691" s="125" t="s">
        <v>266</v>
      </c>
      <c r="C691" s="125" t="s">
        <v>930</v>
      </c>
      <c r="D691" s="125" t="s">
        <v>247</v>
      </c>
      <c r="E691" s="221">
        <v>40334</v>
      </c>
      <c r="F691" s="125" t="str">
        <f>CHOOSE(MONTH(E691),"January","February","March","April","May","June","July","August","September","October","November","December")</f>
        <v>June</v>
      </c>
      <c r="G691" s="125">
        <f ca="1">DATEDIF(E691,TODAY(),"Y")</f>
        <v>6</v>
      </c>
      <c r="I691" s="220">
        <v>47280</v>
      </c>
      <c r="J691" s="219">
        <v>1</v>
      </c>
    </row>
    <row r="692" spans="1:10" x14ac:dyDescent="0.25">
      <c r="A692" s="222" t="s">
        <v>996</v>
      </c>
      <c r="B692" s="125" t="s">
        <v>280</v>
      </c>
      <c r="C692" s="125" t="s">
        <v>930</v>
      </c>
      <c r="D692" s="125" t="s">
        <v>247</v>
      </c>
      <c r="E692" s="221">
        <v>35280</v>
      </c>
      <c r="F692" s="125" t="str">
        <f>CHOOSE(MONTH(E692),"January","February","March","April","May","June","July","August","September","October","November","December")</f>
        <v>August</v>
      </c>
      <c r="G692" s="125">
        <f ca="1">DATEDIF(E692,TODAY(),"Y")</f>
        <v>20</v>
      </c>
      <c r="I692" s="220">
        <v>41770</v>
      </c>
      <c r="J692" s="219">
        <v>5</v>
      </c>
    </row>
    <row r="693" spans="1:10" x14ac:dyDescent="0.25">
      <c r="A693" s="222" t="s">
        <v>859</v>
      </c>
      <c r="B693" s="125" t="s">
        <v>251</v>
      </c>
      <c r="C693" s="125" t="s">
        <v>930</v>
      </c>
      <c r="D693" s="125" t="s">
        <v>256</v>
      </c>
      <c r="E693" s="221">
        <v>38626</v>
      </c>
      <c r="F693" s="125" t="str">
        <f>CHOOSE(MONTH(E693),"January","February","March","April","May","June","July","August","September","October","November","December")</f>
        <v>October</v>
      </c>
      <c r="G693" s="125">
        <f ca="1">DATEDIF(E693,TODAY(),"Y")</f>
        <v>11</v>
      </c>
      <c r="H693" s="125" t="s">
        <v>257</v>
      </c>
      <c r="I693" s="220">
        <v>44530</v>
      </c>
      <c r="J693" s="219">
        <v>2</v>
      </c>
    </row>
    <row r="694" spans="1:10" x14ac:dyDescent="0.25">
      <c r="A694" s="222" t="s">
        <v>452</v>
      </c>
      <c r="B694" s="125" t="s">
        <v>285</v>
      </c>
      <c r="C694" s="125" t="s">
        <v>930</v>
      </c>
      <c r="D694" s="125" t="s">
        <v>247</v>
      </c>
      <c r="E694" s="221">
        <v>34126</v>
      </c>
      <c r="F694" s="125" t="str">
        <f>CHOOSE(MONTH(E694),"January","February","March","April","May","June","July","August","September","October","November","December")</f>
        <v>June</v>
      </c>
      <c r="G694" s="125">
        <f ca="1">DATEDIF(E694,TODAY(),"Y")</f>
        <v>23</v>
      </c>
      <c r="I694" s="220">
        <v>75550</v>
      </c>
      <c r="J694" s="219">
        <v>3</v>
      </c>
    </row>
    <row r="695" spans="1:10" x14ac:dyDescent="0.25">
      <c r="A695" s="222" t="s">
        <v>540</v>
      </c>
      <c r="B695" s="125" t="s">
        <v>266</v>
      </c>
      <c r="C695" s="125" t="s">
        <v>930</v>
      </c>
      <c r="D695" s="125" t="s">
        <v>261</v>
      </c>
      <c r="E695" s="221">
        <v>35297</v>
      </c>
      <c r="F695" s="125" t="str">
        <f>CHOOSE(MONTH(E695),"January","February","March","April","May","June","July","August","September","October","November","December")</f>
        <v>August</v>
      </c>
      <c r="G695" s="125">
        <f ca="1">DATEDIF(E695,TODAY(),"Y")</f>
        <v>20</v>
      </c>
      <c r="H695" s="125" t="s">
        <v>283</v>
      </c>
      <c r="I695" s="220">
        <v>38105</v>
      </c>
      <c r="J695" s="219">
        <v>2</v>
      </c>
    </row>
    <row r="696" spans="1:10" x14ac:dyDescent="0.25">
      <c r="A696" s="222" t="s">
        <v>982</v>
      </c>
      <c r="B696" s="125" t="s">
        <v>285</v>
      </c>
      <c r="C696" s="125" t="s">
        <v>930</v>
      </c>
      <c r="D696" s="125" t="s">
        <v>247</v>
      </c>
      <c r="E696" s="221">
        <v>33144</v>
      </c>
      <c r="F696" s="125" t="str">
        <f>CHOOSE(MONTH(E696),"January","February","March","April","May","June","July","August","September","October","November","December")</f>
        <v>September</v>
      </c>
      <c r="G696" s="125">
        <f ca="1">DATEDIF(E696,TODAY(),"Y")</f>
        <v>26</v>
      </c>
      <c r="I696" s="220">
        <v>23340</v>
      </c>
      <c r="J696" s="219">
        <v>4</v>
      </c>
    </row>
    <row r="697" spans="1:10" x14ac:dyDescent="0.25">
      <c r="A697" s="222" t="s">
        <v>1011</v>
      </c>
      <c r="B697" s="125" t="s">
        <v>280</v>
      </c>
      <c r="C697" s="125" t="s">
        <v>930</v>
      </c>
      <c r="D697" s="125" t="s">
        <v>261</v>
      </c>
      <c r="E697" s="221">
        <v>36053</v>
      </c>
      <c r="F697" s="125" t="str">
        <f>CHOOSE(MONTH(E697),"January","February","March","April","May","June","July","August","September","October","November","December")</f>
        <v>September</v>
      </c>
      <c r="G697" s="125">
        <f ca="1">DATEDIF(E697,TODAY(),"Y")</f>
        <v>18</v>
      </c>
      <c r="H697" s="125" t="s">
        <v>276</v>
      </c>
      <c r="I697" s="220">
        <v>46105</v>
      </c>
      <c r="J697" s="219">
        <v>5</v>
      </c>
    </row>
    <row r="698" spans="1:10" x14ac:dyDescent="0.25">
      <c r="A698" s="222" t="s">
        <v>442</v>
      </c>
      <c r="B698" s="125" t="s">
        <v>271</v>
      </c>
      <c r="C698" s="125" t="s">
        <v>930</v>
      </c>
      <c r="D698" s="125" t="s">
        <v>256</v>
      </c>
      <c r="E698" s="221">
        <v>34425</v>
      </c>
      <c r="F698" s="125" t="str">
        <f>CHOOSE(MONTH(E698),"January","February","March","April","May","June","July","August","September","October","November","December")</f>
        <v>April</v>
      </c>
      <c r="G698" s="125">
        <f ca="1">DATEDIF(E698,TODAY(),"Y")</f>
        <v>22</v>
      </c>
      <c r="H698" s="125" t="s">
        <v>283</v>
      </c>
      <c r="I698" s="220">
        <v>73850</v>
      </c>
      <c r="J698" s="219">
        <v>2</v>
      </c>
    </row>
    <row r="699" spans="1:10" x14ac:dyDescent="0.25">
      <c r="A699" s="222" t="s">
        <v>297</v>
      </c>
      <c r="B699" s="125" t="s">
        <v>285</v>
      </c>
      <c r="C699" s="125" t="s">
        <v>930</v>
      </c>
      <c r="D699" s="125" t="s">
        <v>261</v>
      </c>
      <c r="E699" s="221">
        <v>35466</v>
      </c>
      <c r="F699" s="125" t="str">
        <f>CHOOSE(MONTH(E699),"January","February","March","April","May","June","July","August","September","October","November","December")</f>
        <v>February</v>
      </c>
      <c r="G699" s="125">
        <f ca="1">DATEDIF(E699,TODAY(),"Y")</f>
        <v>19</v>
      </c>
      <c r="H699" s="125" t="s">
        <v>262</v>
      </c>
      <c r="I699" s="220">
        <v>37660</v>
      </c>
      <c r="J699" s="219">
        <v>4</v>
      </c>
    </row>
    <row r="700" spans="1:10" x14ac:dyDescent="0.25">
      <c r="A700" s="222" t="s">
        <v>350</v>
      </c>
      <c r="B700" s="125" t="s">
        <v>285</v>
      </c>
      <c r="C700" s="125" t="s">
        <v>930</v>
      </c>
      <c r="D700" s="125" t="s">
        <v>256</v>
      </c>
      <c r="E700" s="221">
        <v>36619</v>
      </c>
      <c r="F700" s="125" t="str">
        <f>CHOOSE(MONTH(E700),"January","February","March","April","May","June","July","August","September","October","November","December")</f>
        <v>April</v>
      </c>
      <c r="G700" s="125">
        <f ca="1">DATEDIF(E700,TODAY(),"Y")</f>
        <v>16</v>
      </c>
      <c r="H700" s="125" t="s">
        <v>262</v>
      </c>
      <c r="I700" s="220">
        <v>71970</v>
      </c>
      <c r="J700" s="219">
        <v>4</v>
      </c>
    </row>
    <row r="701" spans="1:10" x14ac:dyDescent="0.25">
      <c r="A701" s="222" t="s">
        <v>308</v>
      </c>
      <c r="B701" s="125" t="s">
        <v>251</v>
      </c>
      <c r="C701" s="125" t="s">
        <v>930</v>
      </c>
      <c r="D701" s="125" t="s">
        <v>256</v>
      </c>
      <c r="E701" s="221">
        <v>35307</v>
      </c>
      <c r="F701" s="125" t="str">
        <f>CHOOSE(MONTH(E701),"January","February","March","April","May","June","July","August","September","October","November","December")</f>
        <v>August</v>
      </c>
      <c r="G701" s="125">
        <f ca="1">DATEDIF(E701,TODAY(),"Y")</f>
        <v>20</v>
      </c>
      <c r="H701" s="125" t="s">
        <v>257</v>
      </c>
      <c r="I701" s="220">
        <v>31690</v>
      </c>
      <c r="J701" s="219">
        <v>4</v>
      </c>
    </row>
    <row r="702" spans="1:10" x14ac:dyDescent="0.25">
      <c r="A702" s="222" t="s">
        <v>289</v>
      </c>
      <c r="B702" s="125" t="s">
        <v>285</v>
      </c>
      <c r="C702" s="125" t="s">
        <v>930</v>
      </c>
      <c r="D702" s="125" t="s">
        <v>256</v>
      </c>
      <c r="E702" s="221">
        <v>38328</v>
      </c>
      <c r="F702" s="125" t="str">
        <f>CHOOSE(MONTH(E702),"January","February","March","April","May","June","July","August","September","October","November","December")</f>
        <v>December</v>
      </c>
      <c r="G702" s="125">
        <f ca="1">DATEDIF(E702,TODAY(),"Y")</f>
        <v>11</v>
      </c>
      <c r="H702" s="125" t="s">
        <v>262</v>
      </c>
      <c r="I702" s="220">
        <v>48280</v>
      </c>
      <c r="J702" s="219">
        <v>4</v>
      </c>
    </row>
    <row r="703" spans="1:10" x14ac:dyDescent="0.25">
      <c r="A703" s="222" t="s">
        <v>487</v>
      </c>
      <c r="B703" s="125" t="s">
        <v>266</v>
      </c>
      <c r="C703" s="125" t="s">
        <v>930</v>
      </c>
      <c r="D703" s="125" t="s">
        <v>256</v>
      </c>
      <c r="E703" s="221">
        <v>40536</v>
      </c>
      <c r="F703" s="125" t="str">
        <f>CHOOSE(MONTH(E703),"January","February","March","April","May","June","July","August","September","October","November","December")</f>
        <v>December</v>
      </c>
      <c r="G703" s="125">
        <f ca="1">DATEDIF(E703,TODAY(),"Y")</f>
        <v>5</v>
      </c>
      <c r="H703" s="125" t="s">
        <v>283</v>
      </c>
      <c r="I703" s="220">
        <v>70730</v>
      </c>
      <c r="J703" s="219">
        <v>1</v>
      </c>
    </row>
    <row r="704" spans="1:10" x14ac:dyDescent="0.25">
      <c r="A704" s="222" t="s">
        <v>643</v>
      </c>
      <c r="B704" s="125" t="s">
        <v>245</v>
      </c>
      <c r="C704" s="125" t="s">
        <v>930</v>
      </c>
      <c r="D704" s="125" t="s">
        <v>247</v>
      </c>
      <c r="E704" s="221">
        <v>33820</v>
      </c>
      <c r="F704" s="125" t="str">
        <f>CHOOSE(MONTH(E704),"January","February","March","April","May","June","July","August","September","October","November","December")</f>
        <v>August</v>
      </c>
      <c r="G704" s="125">
        <f ca="1">DATEDIF(E704,TODAY(),"Y")</f>
        <v>24</v>
      </c>
      <c r="I704" s="220">
        <v>70300</v>
      </c>
      <c r="J704" s="219">
        <v>3</v>
      </c>
    </row>
    <row r="705" spans="1:10" x14ac:dyDescent="0.25">
      <c r="A705" s="222" t="s">
        <v>919</v>
      </c>
      <c r="B705" s="125" t="s">
        <v>285</v>
      </c>
      <c r="C705" s="125" t="s">
        <v>930</v>
      </c>
      <c r="D705" s="125" t="s">
        <v>252</v>
      </c>
      <c r="E705" s="221">
        <v>35576</v>
      </c>
      <c r="F705" s="125" t="str">
        <f>CHOOSE(MONTH(E705),"January","February","March","April","May","June","July","August","September","October","November","December")</f>
        <v>May</v>
      </c>
      <c r="G705" s="125">
        <f ca="1">DATEDIF(E705,TODAY(),"Y")</f>
        <v>19</v>
      </c>
      <c r="I705" s="220">
        <v>28768</v>
      </c>
      <c r="J705" s="219">
        <v>3</v>
      </c>
    </row>
    <row r="706" spans="1:10" x14ac:dyDescent="0.25">
      <c r="A706" s="222" t="s">
        <v>777</v>
      </c>
      <c r="B706" s="125" t="s">
        <v>280</v>
      </c>
      <c r="C706" s="125" t="s">
        <v>930</v>
      </c>
      <c r="D706" s="125" t="s">
        <v>247</v>
      </c>
      <c r="E706" s="221">
        <v>34159</v>
      </c>
      <c r="F706" s="125" t="str">
        <f>CHOOSE(MONTH(E706),"January","February","March","April","May","June","July","August","September","October","November","December")</f>
        <v>July</v>
      </c>
      <c r="G706" s="125">
        <f ca="1">DATEDIF(E706,TODAY(),"Y")</f>
        <v>23</v>
      </c>
      <c r="I706" s="220">
        <v>35240</v>
      </c>
      <c r="J706" s="219">
        <v>3</v>
      </c>
    </row>
    <row r="707" spans="1:10" x14ac:dyDescent="0.25">
      <c r="A707" s="222" t="s">
        <v>771</v>
      </c>
      <c r="B707" s="125" t="s">
        <v>285</v>
      </c>
      <c r="C707" s="125" t="s">
        <v>930</v>
      </c>
      <c r="D707" s="125" t="s">
        <v>247</v>
      </c>
      <c r="E707" s="221">
        <v>33974</v>
      </c>
      <c r="F707" s="125" t="str">
        <f>CHOOSE(MONTH(E707),"January","February","March","April","May","June","July","August","September","October","November","December")</f>
        <v>January</v>
      </c>
      <c r="G707" s="125">
        <f ca="1">DATEDIF(E707,TODAY(),"Y")</f>
        <v>23</v>
      </c>
      <c r="I707" s="220">
        <v>70150</v>
      </c>
      <c r="J707" s="219">
        <v>2</v>
      </c>
    </row>
    <row r="708" spans="1:10" x14ac:dyDescent="0.25">
      <c r="A708" s="222" t="s">
        <v>373</v>
      </c>
      <c r="B708" s="125" t="s">
        <v>271</v>
      </c>
      <c r="C708" s="125" t="s">
        <v>930</v>
      </c>
      <c r="D708" s="125" t="s">
        <v>256</v>
      </c>
      <c r="E708" s="221">
        <v>34670</v>
      </c>
      <c r="F708" s="125" t="str">
        <f>CHOOSE(MONTH(E708),"January","February","March","April","May","June","July","August","September","October","November","December")</f>
        <v>December</v>
      </c>
      <c r="G708" s="125">
        <f ca="1">DATEDIF(E708,TODAY(),"Y")</f>
        <v>21</v>
      </c>
      <c r="H708" s="125" t="s">
        <v>257</v>
      </c>
      <c r="I708" s="220">
        <v>69510</v>
      </c>
      <c r="J708" s="219">
        <v>5</v>
      </c>
    </row>
    <row r="709" spans="1:10" x14ac:dyDescent="0.25">
      <c r="A709" s="222" t="s">
        <v>570</v>
      </c>
      <c r="B709" s="125" t="s">
        <v>251</v>
      </c>
      <c r="C709" s="125" t="s">
        <v>930</v>
      </c>
      <c r="D709" s="125" t="s">
        <v>256</v>
      </c>
      <c r="E709" s="221">
        <v>36080</v>
      </c>
      <c r="F709" s="125" t="str">
        <f>CHOOSE(MONTH(E709),"January","February","March","April","May","June","July","August","September","October","November","December")</f>
        <v>October</v>
      </c>
      <c r="G709" s="125">
        <f ca="1">DATEDIF(E709,TODAY(),"Y")</f>
        <v>18</v>
      </c>
      <c r="H709" s="125" t="s">
        <v>283</v>
      </c>
      <c r="I709" s="220">
        <v>48410</v>
      </c>
      <c r="J709" s="219">
        <v>5</v>
      </c>
    </row>
    <row r="710" spans="1:10" x14ac:dyDescent="0.25">
      <c r="A710" s="222" t="s">
        <v>403</v>
      </c>
      <c r="B710" s="125" t="s">
        <v>280</v>
      </c>
      <c r="C710" s="125" t="s">
        <v>930</v>
      </c>
      <c r="D710" s="125" t="s">
        <v>256</v>
      </c>
      <c r="E710" s="221">
        <v>39441</v>
      </c>
      <c r="F710" s="125" t="str">
        <f>CHOOSE(MONTH(E710),"January","February","March","April","May","June","July","August","September","October","November","December")</f>
        <v>December</v>
      </c>
      <c r="G710" s="125">
        <f ca="1">DATEDIF(E710,TODAY(),"Y")</f>
        <v>8</v>
      </c>
      <c r="H710" s="125" t="s">
        <v>262</v>
      </c>
      <c r="I710" s="220">
        <v>68860</v>
      </c>
      <c r="J710" s="219">
        <v>2</v>
      </c>
    </row>
    <row r="711" spans="1:10" x14ac:dyDescent="0.25">
      <c r="A711" s="222" t="s">
        <v>711</v>
      </c>
      <c r="B711" s="125" t="s">
        <v>251</v>
      </c>
      <c r="C711" s="125" t="s">
        <v>930</v>
      </c>
      <c r="D711" s="125" t="s">
        <v>247</v>
      </c>
      <c r="E711" s="221">
        <v>40638</v>
      </c>
      <c r="F711" s="125" t="str">
        <f>CHOOSE(MONTH(E711),"January","February","March","April","May","June","July","August","September","October","November","December")</f>
        <v>April</v>
      </c>
      <c r="G711" s="125">
        <f ca="1">DATEDIF(E711,TODAY(),"Y")</f>
        <v>5</v>
      </c>
      <c r="I711" s="220">
        <v>42990</v>
      </c>
      <c r="J711" s="219">
        <v>4</v>
      </c>
    </row>
    <row r="712" spans="1:10" x14ac:dyDescent="0.25">
      <c r="A712" s="222" t="s">
        <v>479</v>
      </c>
      <c r="B712" s="125" t="s">
        <v>285</v>
      </c>
      <c r="C712" s="125" t="s">
        <v>930</v>
      </c>
      <c r="D712" s="125" t="s">
        <v>256</v>
      </c>
      <c r="E712" s="221">
        <v>36672</v>
      </c>
      <c r="F712" s="125" t="str">
        <f>CHOOSE(MONTH(E712),"January","February","March","April","May","June","July","August","September","October","November","December")</f>
        <v>May</v>
      </c>
      <c r="G712" s="125">
        <f ca="1">DATEDIF(E712,TODAY(),"Y")</f>
        <v>16</v>
      </c>
      <c r="H712" s="125" t="s">
        <v>262</v>
      </c>
      <c r="I712" s="220">
        <v>65320</v>
      </c>
      <c r="J712" s="219">
        <v>5</v>
      </c>
    </row>
    <row r="713" spans="1:10" x14ac:dyDescent="0.25">
      <c r="A713" s="222" t="s">
        <v>921</v>
      </c>
      <c r="B713" s="125" t="s">
        <v>285</v>
      </c>
      <c r="C713" s="125" t="s">
        <v>930</v>
      </c>
      <c r="D713" s="125" t="s">
        <v>256</v>
      </c>
      <c r="E713" s="221">
        <v>35052</v>
      </c>
      <c r="F713" s="125" t="str">
        <f>CHOOSE(MONTH(E713),"January","February","March","April","May","June","July","August","September","October","November","December")</f>
        <v>December</v>
      </c>
      <c r="G713" s="125">
        <f ca="1">DATEDIF(E713,TODAY(),"Y")</f>
        <v>20</v>
      </c>
      <c r="H713" s="125" t="s">
        <v>267</v>
      </c>
      <c r="I713" s="220">
        <v>64780</v>
      </c>
      <c r="J713" s="219">
        <v>5</v>
      </c>
    </row>
    <row r="714" spans="1:10" x14ac:dyDescent="0.25">
      <c r="A714" s="222" t="s">
        <v>610</v>
      </c>
      <c r="B714" s="125" t="s">
        <v>285</v>
      </c>
      <c r="C714" s="125" t="s">
        <v>930</v>
      </c>
      <c r="D714" s="125" t="s">
        <v>247</v>
      </c>
      <c r="E714" s="221">
        <v>35826</v>
      </c>
      <c r="F714" s="125" t="str">
        <f>CHOOSE(MONTH(E714),"January","February","March","April","May","June","July","August","September","October","November","December")</f>
        <v>January</v>
      </c>
      <c r="G714" s="125">
        <f ca="1">DATEDIF(E714,TODAY(),"Y")</f>
        <v>18</v>
      </c>
      <c r="I714" s="220">
        <v>45030</v>
      </c>
      <c r="J714" s="219">
        <v>3</v>
      </c>
    </row>
    <row r="715" spans="1:10" x14ac:dyDescent="0.25">
      <c r="A715" s="222" t="s">
        <v>354</v>
      </c>
      <c r="B715" s="125" t="s">
        <v>285</v>
      </c>
      <c r="C715" s="125" t="s">
        <v>930</v>
      </c>
      <c r="D715" s="125" t="s">
        <v>256</v>
      </c>
      <c r="E715" s="221">
        <v>36025</v>
      </c>
      <c r="F715" s="125" t="str">
        <f>CHOOSE(MONTH(E715),"January","February","March","April","May","June","July","August","September","October","November","December")</f>
        <v>August</v>
      </c>
      <c r="G715" s="125">
        <f ca="1">DATEDIF(E715,TODAY(),"Y")</f>
        <v>18</v>
      </c>
      <c r="H715" s="125" t="s">
        <v>262</v>
      </c>
      <c r="I715" s="220">
        <v>64470</v>
      </c>
      <c r="J715" s="219">
        <v>5</v>
      </c>
    </row>
    <row r="716" spans="1:10" x14ac:dyDescent="0.25">
      <c r="A716" s="222" t="s">
        <v>812</v>
      </c>
      <c r="B716" s="125" t="s">
        <v>271</v>
      </c>
      <c r="C716" s="125" t="s">
        <v>930</v>
      </c>
      <c r="D716" s="125" t="s">
        <v>247</v>
      </c>
      <c r="E716" s="221">
        <v>34723</v>
      </c>
      <c r="F716" s="125" t="str">
        <f>CHOOSE(MONTH(E716),"January","February","March","April","May","June","July","August","September","October","November","December")</f>
        <v>January</v>
      </c>
      <c r="G716" s="125">
        <f ca="1">DATEDIF(E716,TODAY(),"Y")</f>
        <v>21</v>
      </c>
      <c r="I716" s="220">
        <v>64263</v>
      </c>
      <c r="J716" s="219">
        <v>3</v>
      </c>
    </row>
    <row r="717" spans="1:10" x14ac:dyDescent="0.25">
      <c r="A717" s="222" t="s">
        <v>787</v>
      </c>
      <c r="B717" s="125" t="s">
        <v>285</v>
      </c>
      <c r="C717" s="125" t="s">
        <v>930</v>
      </c>
      <c r="D717" s="125" t="s">
        <v>252</v>
      </c>
      <c r="E717" s="221">
        <v>34825</v>
      </c>
      <c r="F717" s="125" t="str">
        <f>CHOOSE(MONTH(E717),"January","February","March","April","May","June","July","August","September","October","November","December")</f>
        <v>May</v>
      </c>
      <c r="G717" s="125">
        <f ca="1">DATEDIF(E717,TODAY(),"Y")</f>
        <v>21</v>
      </c>
      <c r="I717" s="220">
        <v>26944</v>
      </c>
      <c r="J717" s="219">
        <v>4</v>
      </c>
    </row>
    <row r="718" spans="1:10" x14ac:dyDescent="0.25">
      <c r="A718" s="222" t="s">
        <v>810</v>
      </c>
      <c r="B718" s="125" t="s">
        <v>271</v>
      </c>
      <c r="C718" s="125" t="s">
        <v>930</v>
      </c>
      <c r="D718" s="125" t="s">
        <v>247</v>
      </c>
      <c r="E718" s="221">
        <v>33193</v>
      </c>
      <c r="F718" s="125" t="str">
        <f>CHOOSE(MONTH(E718),"January","February","March","April","May","June","July","August","September","October","November","December")</f>
        <v>November</v>
      </c>
      <c r="G718" s="125">
        <f ca="1">DATEDIF(E718,TODAY(),"Y")</f>
        <v>25</v>
      </c>
      <c r="I718" s="220">
        <v>63610</v>
      </c>
      <c r="J718" s="219">
        <v>5</v>
      </c>
    </row>
    <row r="719" spans="1:10" x14ac:dyDescent="0.25">
      <c r="A719" s="222" t="s">
        <v>836</v>
      </c>
      <c r="B719" s="125" t="s">
        <v>280</v>
      </c>
      <c r="C719" s="125" t="s">
        <v>930</v>
      </c>
      <c r="D719" s="125" t="s">
        <v>256</v>
      </c>
      <c r="E719" s="221">
        <v>39171</v>
      </c>
      <c r="F719" s="125" t="str">
        <f>CHOOSE(MONTH(E719),"January","February","March","April","May","June","July","August","September","October","November","December")</f>
        <v>March</v>
      </c>
      <c r="G719" s="125">
        <f ca="1">DATEDIF(E719,TODAY(),"Y")</f>
        <v>9</v>
      </c>
      <c r="H719" s="125" t="s">
        <v>267</v>
      </c>
      <c r="I719" s="220">
        <v>25690</v>
      </c>
      <c r="J719" s="219">
        <v>2</v>
      </c>
    </row>
    <row r="720" spans="1:10" x14ac:dyDescent="0.25">
      <c r="A720" s="222" t="s">
        <v>960</v>
      </c>
      <c r="B720" s="125" t="s">
        <v>251</v>
      </c>
      <c r="C720" s="125" t="s">
        <v>930</v>
      </c>
      <c r="D720" s="125" t="s">
        <v>256</v>
      </c>
      <c r="E720" s="221">
        <v>36843</v>
      </c>
      <c r="F720" s="125" t="str">
        <f>CHOOSE(MONTH(E720),"January","February","March","April","May","June","July","August","September","October","November","December")</f>
        <v>November</v>
      </c>
      <c r="G720" s="125">
        <f ca="1">DATEDIF(E720,TODAY(),"Y")</f>
        <v>15</v>
      </c>
      <c r="H720" s="125" t="s">
        <v>283</v>
      </c>
      <c r="I720" s="220">
        <v>47630</v>
      </c>
      <c r="J720" s="219">
        <v>3</v>
      </c>
    </row>
    <row r="721" spans="1:10" x14ac:dyDescent="0.25">
      <c r="A721" s="222" t="s">
        <v>829</v>
      </c>
      <c r="B721" s="125" t="s">
        <v>285</v>
      </c>
      <c r="C721" s="125" t="s">
        <v>930</v>
      </c>
      <c r="D721" s="125" t="s">
        <v>256</v>
      </c>
      <c r="E721" s="221">
        <v>33681</v>
      </c>
      <c r="F721" s="125" t="str">
        <f>CHOOSE(MONTH(E721),"January","February","March","April","May","June","July","August","September","October","November","December")</f>
        <v>March</v>
      </c>
      <c r="G721" s="125">
        <f ca="1">DATEDIF(E721,TODAY(),"Y")</f>
        <v>24</v>
      </c>
      <c r="H721" s="125" t="s">
        <v>262</v>
      </c>
      <c r="I721" s="220">
        <v>46550</v>
      </c>
      <c r="J721" s="219">
        <v>4</v>
      </c>
    </row>
    <row r="722" spans="1:10" x14ac:dyDescent="0.25">
      <c r="A722" s="222" t="s">
        <v>954</v>
      </c>
      <c r="B722" s="125" t="s">
        <v>271</v>
      </c>
      <c r="C722" s="125" t="s">
        <v>930</v>
      </c>
      <c r="D722" s="125" t="s">
        <v>247</v>
      </c>
      <c r="E722" s="221">
        <v>33977</v>
      </c>
      <c r="F722" s="125" t="str">
        <f>CHOOSE(MONTH(E722),"January","February","March","April","May","June","July","August","September","October","November","December")</f>
        <v>January</v>
      </c>
      <c r="G722" s="125">
        <f ca="1">DATEDIF(E722,TODAY(),"Y")</f>
        <v>23</v>
      </c>
      <c r="I722" s="220">
        <v>63290</v>
      </c>
      <c r="J722" s="219">
        <v>5</v>
      </c>
    </row>
    <row r="723" spans="1:10" x14ac:dyDescent="0.25">
      <c r="A723" s="222" t="s">
        <v>339</v>
      </c>
      <c r="B723" s="125" t="s">
        <v>285</v>
      </c>
      <c r="C723" s="125" t="s">
        <v>930</v>
      </c>
      <c r="D723" s="125" t="s">
        <v>256</v>
      </c>
      <c r="E723" s="221">
        <v>36956</v>
      </c>
      <c r="F723" s="125" t="str">
        <f>CHOOSE(MONTH(E723),"January","February","March","April","May","June","July","August","September","October","November","December")</f>
        <v>March</v>
      </c>
      <c r="G723" s="125">
        <f ca="1">DATEDIF(E723,TODAY(),"Y")</f>
        <v>15</v>
      </c>
      <c r="H723" s="125" t="s">
        <v>276</v>
      </c>
      <c r="I723" s="220">
        <v>49930</v>
      </c>
      <c r="J723" s="219">
        <v>1</v>
      </c>
    </row>
    <row r="724" spans="1:10" x14ac:dyDescent="0.25">
      <c r="A724" s="222" t="s">
        <v>901</v>
      </c>
      <c r="B724" s="125" t="s">
        <v>285</v>
      </c>
      <c r="C724" s="125" t="s">
        <v>930</v>
      </c>
      <c r="D724" s="125" t="s">
        <v>256</v>
      </c>
      <c r="E724" s="221">
        <v>36549</v>
      </c>
      <c r="F724" s="125" t="str">
        <f>CHOOSE(MONTH(E724),"January","February","March","April","May","June","July","August","September","October","November","December")</f>
        <v>January</v>
      </c>
      <c r="G724" s="125">
        <f ca="1">DATEDIF(E724,TODAY(),"Y")</f>
        <v>16</v>
      </c>
      <c r="H724" s="125" t="s">
        <v>283</v>
      </c>
      <c r="I724" s="220">
        <v>35460</v>
      </c>
      <c r="J724" s="219">
        <v>1</v>
      </c>
    </row>
    <row r="725" spans="1:10" x14ac:dyDescent="0.25">
      <c r="A725" s="222" t="s">
        <v>521</v>
      </c>
      <c r="B725" s="125" t="s">
        <v>285</v>
      </c>
      <c r="C725" s="125" t="s">
        <v>930</v>
      </c>
      <c r="D725" s="125" t="s">
        <v>256</v>
      </c>
      <c r="E725" s="221">
        <v>36967</v>
      </c>
      <c r="F725" s="125" t="str">
        <f>CHOOSE(MONTH(E725),"January","February","March","April","May","June","July","August","September","October","November","December")</f>
        <v>March</v>
      </c>
      <c r="G725" s="125">
        <f ca="1">DATEDIF(E725,TODAY(),"Y")</f>
        <v>15</v>
      </c>
      <c r="H725" s="125" t="s">
        <v>257</v>
      </c>
      <c r="I725" s="220">
        <v>63060</v>
      </c>
      <c r="J725" s="219">
        <v>4</v>
      </c>
    </row>
    <row r="726" spans="1:10" x14ac:dyDescent="0.25">
      <c r="A726" s="222" t="s">
        <v>358</v>
      </c>
      <c r="B726" s="125" t="s">
        <v>271</v>
      </c>
      <c r="C726" s="125" t="s">
        <v>930</v>
      </c>
      <c r="D726" s="125" t="s">
        <v>261</v>
      </c>
      <c r="E726" s="221">
        <v>34042</v>
      </c>
      <c r="F726" s="125" t="str">
        <f>CHOOSE(MONTH(E726),"January","February","March","April","May","June","July","August","September","October","November","December")</f>
        <v>March</v>
      </c>
      <c r="G726" s="125">
        <f ca="1">DATEDIF(E726,TODAY(),"Y")</f>
        <v>23</v>
      </c>
      <c r="H726" s="125" t="s">
        <v>267</v>
      </c>
      <c r="I726" s="220">
        <v>27710</v>
      </c>
      <c r="J726" s="219">
        <v>3</v>
      </c>
    </row>
    <row r="727" spans="1:10" x14ac:dyDescent="0.25">
      <c r="A727" s="222" t="s">
        <v>509</v>
      </c>
      <c r="B727" s="125" t="s">
        <v>271</v>
      </c>
      <c r="C727" s="125" t="s">
        <v>930</v>
      </c>
      <c r="D727" s="125" t="s">
        <v>256</v>
      </c>
      <c r="E727" s="221">
        <v>33806</v>
      </c>
      <c r="F727" s="125" t="str">
        <f>CHOOSE(MONTH(E727),"January","February","March","April","May","June","July","August","September","October","November","December")</f>
        <v>July</v>
      </c>
      <c r="G727" s="125">
        <f ca="1">DATEDIF(E727,TODAY(),"Y")</f>
        <v>24</v>
      </c>
      <c r="H727" s="125" t="s">
        <v>262</v>
      </c>
      <c r="I727" s="220">
        <v>62780</v>
      </c>
      <c r="J727" s="219">
        <v>3</v>
      </c>
    </row>
    <row r="728" spans="1:10" x14ac:dyDescent="0.25">
      <c r="A728" s="222" t="s">
        <v>953</v>
      </c>
      <c r="B728" s="125" t="s">
        <v>285</v>
      </c>
      <c r="C728" s="125" t="s">
        <v>930</v>
      </c>
      <c r="D728" s="125" t="s">
        <v>247</v>
      </c>
      <c r="E728" s="221">
        <v>33495</v>
      </c>
      <c r="F728" s="125" t="str">
        <f>CHOOSE(MONTH(E728),"January","February","March","April","May","June","July","August","September","October","November","December")</f>
        <v>September</v>
      </c>
      <c r="G728" s="125">
        <f ca="1">DATEDIF(E728,TODAY(),"Y")</f>
        <v>25</v>
      </c>
      <c r="I728" s="220">
        <v>62480</v>
      </c>
      <c r="J728" s="219">
        <v>5</v>
      </c>
    </row>
    <row r="729" spans="1:10" x14ac:dyDescent="0.25">
      <c r="A729" s="222" t="s">
        <v>501</v>
      </c>
      <c r="B729" s="125" t="s">
        <v>271</v>
      </c>
      <c r="C729" s="125" t="s">
        <v>930</v>
      </c>
      <c r="D729" s="125" t="s">
        <v>256</v>
      </c>
      <c r="E729" s="221">
        <v>40680</v>
      </c>
      <c r="F729" s="125" t="str">
        <f>CHOOSE(MONTH(E729),"January","February","March","April","May","June","July","August","September","October","November","December")</f>
        <v>May</v>
      </c>
      <c r="G729" s="125">
        <f ca="1">DATEDIF(E729,TODAY(),"Y")</f>
        <v>5</v>
      </c>
      <c r="H729" s="125" t="s">
        <v>276</v>
      </c>
      <c r="I729" s="220">
        <v>40260</v>
      </c>
      <c r="J729" s="219">
        <v>5</v>
      </c>
    </row>
    <row r="730" spans="1:10" x14ac:dyDescent="0.25">
      <c r="A730" s="222" t="s">
        <v>769</v>
      </c>
      <c r="B730" s="125" t="s">
        <v>271</v>
      </c>
      <c r="C730" s="125" t="s">
        <v>930</v>
      </c>
      <c r="D730" s="125" t="s">
        <v>256</v>
      </c>
      <c r="E730" s="221">
        <v>36330</v>
      </c>
      <c r="F730" s="125" t="str">
        <f>CHOOSE(MONTH(E730),"January","February","March","April","May","June","July","August","September","October","November","December")</f>
        <v>June</v>
      </c>
      <c r="G730" s="125">
        <f ca="1">DATEDIF(E730,TODAY(),"Y")</f>
        <v>17</v>
      </c>
      <c r="H730" s="125" t="s">
        <v>276</v>
      </c>
      <c r="I730" s="220">
        <v>61850</v>
      </c>
      <c r="J730" s="219">
        <v>2</v>
      </c>
    </row>
    <row r="731" spans="1:10" x14ac:dyDescent="0.25">
      <c r="A731" s="222" t="s">
        <v>773</v>
      </c>
      <c r="B731" s="125" t="s">
        <v>285</v>
      </c>
      <c r="C731" s="125" t="s">
        <v>930</v>
      </c>
      <c r="D731" s="125" t="s">
        <v>256</v>
      </c>
      <c r="E731" s="221">
        <v>39283</v>
      </c>
      <c r="F731" s="125" t="str">
        <f>CHOOSE(MONTH(E731),"January","February","March","April","May","June","July","August","September","October","November","December")</f>
        <v>July</v>
      </c>
      <c r="G731" s="125">
        <f ca="1">DATEDIF(E731,TODAY(),"Y")</f>
        <v>9</v>
      </c>
      <c r="H731" s="125" t="s">
        <v>257</v>
      </c>
      <c r="I731" s="220">
        <v>24980</v>
      </c>
      <c r="J731" s="219">
        <v>3</v>
      </c>
    </row>
    <row r="732" spans="1:10" x14ac:dyDescent="0.25">
      <c r="A732" s="222" t="s">
        <v>541</v>
      </c>
      <c r="B732" s="125" t="s">
        <v>271</v>
      </c>
      <c r="C732" s="125" t="s">
        <v>930</v>
      </c>
      <c r="D732" s="125" t="s">
        <v>256</v>
      </c>
      <c r="E732" s="221">
        <v>35364</v>
      </c>
      <c r="F732" s="125" t="str">
        <f>CHOOSE(MONTH(E732),"January","February","March","April","May","June","July","August","September","October","November","December")</f>
        <v>October</v>
      </c>
      <c r="G732" s="125">
        <f ca="1">DATEDIF(E732,TODAY(),"Y")</f>
        <v>20</v>
      </c>
      <c r="H732" s="125" t="s">
        <v>257</v>
      </c>
      <c r="I732" s="220">
        <v>27130</v>
      </c>
      <c r="J732" s="219">
        <v>5</v>
      </c>
    </row>
    <row r="733" spans="1:10" x14ac:dyDescent="0.25">
      <c r="A733" s="222" t="s">
        <v>428</v>
      </c>
      <c r="B733" s="125" t="s">
        <v>280</v>
      </c>
      <c r="C733" s="125" t="s">
        <v>930</v>
      </c>
      <c r="D733" s="125" t="s">
        <v>247</v>
      </c>
      <c r="E733" s="221">
        <v>38438</v>
      </c>
      <c r="F733" s="125" t="str">
        <f>CHOOSE(MONTH(E733),"January","February","March","April","May","June","July","August","September","October","November","December")</f>
        <v>March</v>
      </c>
      <c r="G733" s="125">
        <f ca="1">DATEDIF(E733,TODAY(),"Y")</f>
        <v>11</v>
      </c>
      <c r="I733" s="220">
        <v>32880</v>
      </c>
      <c r="J733" s="219">
        <v>3</v>
      </c>
    </row>
    <row r="734" spans="1:10" x14ac:dyDescent="0.25">
      <c r="A734" s="222" t="s">
        <v>824</v>
      </c>
      <c r="B734" s="125" t="s">
        <v>245</v>
      </c>
      <c r="C734" s="125" t="s">
        <v>930</v>
      </c>
      <c r="D734" s="125" t="s">
        <v>261</v>
      </c>
      <c r="E734" s="221">
        <v>34960</v>
      </c>
      <c r="F734" s="125" t="str">
        <f>CHOOSE(MONTH(E734),"January","February","March","April","May","June","July","August","September","October","November","December")</f>
        <v>September</v>
      </c>
      <c r="G734" s="125">
        <f ca="1">DATEDIF(E734,TODAY(),"Y")</f>
        <v>21</v>
      </c>
      <c r="H734" s="125" t="s">
        <v>276</v>
      </c>
      <c r="I734" s="220">
        <v>23000</v>
      </c>
      <c r="J734" s="219">
        <v>4</v>
      </c>
    </row>
    <row r="735" spans="1:10" x14ac:dyDescent="0.25">
      <c r="A735" s="222" t="s">
        <v>435</v>
      </c>
      <c r="B735" s="125" t="s">
        <v>271</v>
      </c>
      <c r="C735" s="125" t="s">
        <v>930</v>
      </c>
      <c r="D735" s="125" t="s">
        <v>247</v>
      </c>
      <c r="E735" s="221">
        <v>33506</v>
      </c>
      <c r="F735" s="125" t="str">
        <f>CHOOSE(MONTH(E735),"January","February","March","April","May","June","July","August","September","October","November","December")</f>
        <v>September</v>
      </c>
      <c r="G735" s="125">
        <f ca="1">DATEDIF(E735,TODAY(),"Y")</f>
        <v>25</v>
      </c>
      <c r="I735" s="220">
        <v>61134</v>
      </c>
      <c r="J735" s="219">
        <v>4</v>
      </c>
    </row>
    <row r="736" spans="1:10" x14ac:dyDescent="0.25">
      <c r="A736" s="222" t="s">
        <v>754</v>
      </c>
      <c r="B736" s="125" t="s">
        <v>285</v>
      </c>
      <c r="C736" s="125" t="s">
        <v>930</v>
      </c>
      <c r="D736" s="125" t="s">
        <v>261</v>
      </c>
      <c r="E736" s="221">
        <v>34005</v>
      </c>
      <c r="F736" s="125" t="str">
        <f>CHOOSE(MONTH(E736),"January","February","March","April","May","June","July","August","September","October","November","December")</f>
        <v>February</v>
      </c>
      <c r="G736" s="125">
        <f ca="1">DATEDIF(E736,TODAY(),"Y")</f>
        <v>23</v>
      </c>
      <c r="H736" s="125" t="s">
        <v>257</v>
      </c>
      <c r="I736" s="220">
        <v>19935</v>
      </c>
      <c r="J736" s="219">
        <v>1</v>
      </c>
    </row>
    <row r="737" spans="1:10" x14ac:dyDescent="0.25">
      <c r="A737" s="222" t="s">
        <v>743</v>
      </c>
      <c r="B737" s="125" t="s">
        <v>251</v>
      </c>
      <c r="C737" s="125" t="s">
        <v>930</v>
      </c>
      <c r="D737" s="125" t="s">
        <v>256</v>
      </c>
      <c r="E737" s="221">
        <v>37495</v>
      </c>
      <c r="F737" s="125" t="str">
        <f>CHOOSE(MONTH(E737),"January","February","March","April","May","June","July","August","September","October","November","December")</f>
        <v>August</v>
      </c>
      <c r="G737" s="125">
        <f ca="1">DATEDIF(E737,TODAY(),"Y")</f>
        <v>14</v>
      </c>
      <c r="H737" s="125" t="s">
        <v>276</v>
      </c>
      <c r="I737" s="220">
        <v>60300</v>
      </c>
      <c r="J737" s="219">
        <v>2</v>
      </c>
    </row>
    <row r="738" spans="1:10" x14ac:dyDescent="0.25">
      <c r="A738" s="222" t="s">
        <v>488</v>
      </c>
      <c r="B738" s="125" t="s">
        <v>285</v>
      </c>
      <c r="C738" s="125" t="s">
        <v>930</v>
      </c>
      <c r="D738" s="125" t="s">
        <v>261</v>
      </c>
      <c r="E738" s="221">
        <v>36918</v>
      </c>
      <c r="F738" s="125" t="str">
        <f>CHOOSE(MONTH(E738),"January","February","March","April","May","June","July","August","September","October","November","December")</f>
        <v>January</v>
      </c>
      <c r="G738" s="125">
        <f ca="1">DATEDIF(E738,TODAY(),"Y")</f>
        <v>15</v>
      </c>
      <c r="H738" s="125" t="s">
        <v>257</v>
      </c>
      <c r="I738" s="220">
        <v>17205</v>
      </c>
      <c r="J738" s="219">
        <v>5</v>
      </c>
    </row>
    <row r="739" spans="1:10" x14ac:dyDescent="0.25">
      <c r="A739" s="222" t="s">
        <v>549</v>
      </c>
      <c r="B739" s="125" t="s">
        <v>245</v>
      </c>
      <c r="C739" s="125" t="s">
        <v>930</v>
      </c>
      <c r="D739" s="125" t="s">
        <v>261</v>
      </c>
      <c r="E739" s="221">
        <v>35518</v>
      </c>
      <c r="F739" s="125" t="str">
        <f>CHOOSE(MONTH(E739),"January","February","March","April","May","June","July","August","September","October","November","December")</f>
        <v>March</v>
      </c>
      <c r="G739" s="125">
        <f ca="1">DATEDIF(E739,TODAY(),"Y")</f>
        <v>19</v>
      </c>
      <c r="H739" s="125" t="s">
        <v>262</v>
      </c>
      <c r="I739" s="220">
        <v>13690</v>
      </c>
      <c r="J739" s="219">
        <v>5</v>
      </c>
    </row>
    <row r="740" spans="1:10" x14ac:dyDescent="0.25">
      <c r="A740" s="222" t="s">
        <v>701</v>
      </c>
      <c r="B740" s="125" t="s">
        <v>271</v>
      </c>
      <c r="C740" s="125" t="s">
        <v>930</v>
      </c>
      <c r="D740" s="125" t="s">
        <v>256</v>
      </c>
      <c r="E740" s="221">
        <v>33957</v>
      </c>
      <c r="F740" s="125" t="str">
        <f>CHOOSE(MONTH(E740),"January","February","March","April","May","June","July","August","September","October","November","December")</f>
        <v>December</v>
      </c>
      <c r="G740" s="125">
        <f ca="1">DATEDIF(E740,TODAY(),"Y")</f>
        <v>23</v>
      </c>
      <c r="H740" s="125" t="s">
        <v>262</v>
      </c>
      <c r="I740" s="220">
        <v>59490</v>
      </c>
      <c r="J740" s="219">
        <v>3</v>
      </c>
    </row>
    <row r="741" spans="1:10" x14ac:dyDescent="0.25">
      <c r="A741" s="222" t="s">
        <v>676</v>
      </c>
      <c r="B741" s="125" t="s">
        <v>245</v>
      </c>
      <c r="C741" s="125" t="s">
        <v>930</v>
      </c>
      <c r="D741" s="125" t="s">
        <v>247</v>
      </c>
      <c r="E741" s="221">
        <v>33789</v>
      </c>
      <c r="F741" s="125" t="str">
        <f>CHOOSE(MONTH(E741),"January","February","March","April","May","June","July","August","September","October","November","December")</f>
        <v>July</v>
      </c>
      <c r="G741" s="125">
        <f ca="1">DATEDIF(E741,TODAY(),"Y")</f>
        <v>24</v>
      </c>
      <c r="I741" s="220">
        <v>59128</v>
      </c>
      <c r="J741" s="219">
        <v>4</v>
      </c>
    </row>
    <row r="742" spans="1:10" x14ac:dyDescent="0.25">
      <c r="A742" s="222" t="s">
        <v>402</v>
      </c>
      <c r="B742" s="125" t="s">
        <v>285</v>
      </c>
      <c r="C742" s="125" t="s">
        <v>930</v>
      </c>
      <c r="D742" s="125" t="s">
        <v>256</v>
      </c>
      <c r="E742" s="221">
        <v>35276</v>
      </c>
      <c r="F742" s="125" t="str">
        <f>CHOOSE(MONTH(E742),"January","February","March","April","May","June","July","August","September","October","November","December")</f>
        <v>July</v>
      </c>
      <c r="G742" s="125">
        <f ca="1">DATEDIF(E742,TODAY(),"Y")</f>
        <v>20</v>
      </c>
      <c r="H742" s="125" t="s">
        <v>257</v>
      </c>
      <c r="I742" s="220">
        <v>58370</v>
      </c>
      <c r="J742" s="219">
        <v>5</v>
      </c>
    </row>
    <row r="743" spans="1:10" x14ac:dyDescent="0.25">
      <c r="A743" s="222" t="s">
        <v>719</v>
      </c>
      <c r="B743" s="125" t="s">
        <v>245</v>
      </c>
      <c r="C743" s="125" t="s">
        <v>930</v>
      </c>
      <c r="D743" s="125" t="s">
        <v>247</v>
      </c>
      <c r="E743" s="221">
        <v>36193</v>
      </c>
      <c r="F743" s="125" t="str">
        <f>CHOOSE(MONTH(E743),"January","February","March","April","May","June","July","August","September","October","November","December")</f>
        <v>February</v>
      </c>
      <c r="G743" s="125">
        <f ca="1">DATEDIF(E743,TODAY(),"Y")</f>
        <v>17</v>
      </c>
      <c r="I743" s="220">
        <v>58250</v>
      </c>
      <c r="J743" s="219">
        <v>2</v>
      </c>
    </row>
    <row r="744" spans="1:10" x14ac:dyDescent="0.25">
      <c r="A744" s="222" t="s">
        <v>361</v>
      </c>
      <c r="B744" s="125" t="s">
        <v>285</v>
      </c>
      <c r="C744" s="125" t="s">
        <v>930</v>
      </c>
      <c r="D744" s="125" t="s">
        <v>247</v>
      </c>
      <c r="E744" s="221">
        <v>33562</v>
      </c>
      <c r="F744" s="125" t="str">
        <f>CHOOSE(MONTH(E744),"January","February","March","April","May","June","July","August","September","October","November","December")</f>
        <v>November</v>
      </c>
      <c r="G744" s="125">
        <f ca="1">DATEDIF(E744,TODAY(),"Y")</f>
        <v>24</v>
      </c>
      <c r="I744" s="220">
        <v>57500</v>
      </c>
      <c r="J744" s="219">
        <v>1</v>
      </c>
    </row>
    <row r="745" spans="1:10" x14ac:dyDescent="0.25">
      <c r="A745" s="222" t="s">
        <v>399</v>
      </c>
      <c r="B745" s="125" t="s">
        <v>266</v>
      </c>
      <c r="C745" s="125" t="s">
        <v>930</v>
      </c>
      <c r="D745" s="125" t="s">
        <v>256</v>
      </c>
      <c r="E745" s="221">
        <v>33921</v>
      </c>
      <c r="F745" s="125" t="str">
        <f>CHOOSE(MONTH(E745),"January","February","March","April","May","June","July","August","September","October","November","December")</f>
        <v>November</v>
      </c>
      <c r="G745" s="125">
        <f ca="1">DATEDIF(E745,TODAY(),"Y")</f>
        <v>23</v>
      </c>
      <c r="H745" s="125" t="s">
        <v>267</v>
      </c>
      <c r="I745" s="220">
        <v>32160</v>
      </c>
      <c r="J745" s="219">
        <v>3</v>
      </c>
    </row>
    <row r="746" spans="1:10" x14ac:dyDescent="0.25">
      <c r="A746" s="222" t="s">
        <v>461</v>
      </c>
      <c r="B746" s="125" t="s">
        <v>280</v>
      </c>
      <c r="C746" s="125" t="s">
        <v>930</v>
      </c>
      <c r="D746" s="125" t="s">
        <v>247</v>
      </c>
      <c r="E746" s="221">
        <v>33413</v>
      </c>
      <c r="F746" s="125" t="str">
        <f>CHOOSE(MONTH(E746),"January","February","March","April","May","June","July","August","September","October","November","December")</f>
        <v>June</v>
      </c>
      <c r="G746" s="125">
        <f ca="1">DATEDIF(E746,TODAY(),"Y")</f>
        <v>25</v>
      </c>
      <c r="I746" s="220">
        <v>26020</v>
      </c>
      <c r="J746" s="219">
        <v>5</v>
      </c>
    </row>
    <row r="747" spans="1:10" x14ac:dyDescent="0.25">
      <c r="A747" s="222" t="s">
        <v>526</v>
      </c>
      <c r="B747" s="125" t="s">
        <v>285</v>
      </c>
      <c r="C747" s="125" t="s">
        <v>930</v>
      </c>
      <c r="D747" s="125" t="s">
        <v>247</v>
      </c>
      <c r="E747" s="221">
        <v>40563</v>
      </c>
      <c r="F747" s="125" t="str">
        <f>CHOOSE(MONTH(E747),"January","February","March","April","May","June","July","August","September","October","November","December")</f>
        <v>January</v>
      </c>
      <c r="G747" s="125">
        <f ca="1">DATEDIF(E747,TODAY(),"Y")</f>
        <v>5</v>
      </c>
      <c r="I747" s="220">
        <v>55510</v>
      </c>
      <c r="J747" s="219">
        <v>3</v>
      </c>
    </row>
    <row r="748" spans="1:10" x14ac:dyDescent="0.25">
      <c r="A748" s="222" t="s">
        <v>983</v>
      </c>
      <c r="B748" s="125" t="s">
        <v>285</v>
      </c>
      <c r="C748" s="125" t="s">
        <v>930</v>
      </c>
      <c r="D748" s="125" t="s">
        <v>256</v>
      </c>
      <c r="E748" s="221">
        <v>37810</v>
      </c>
      <c r="F748" s="125" t="str">
        <f>CHOOSE(MONTH(E748),"January","February","March","April","May","June","July","August","September","October","November","December")</f>
        <v>July</v>
      </c>
      <c r="G748" s="125">
        <f ca="1">DATEDIF(E748,TODAY(),"Y")</f>
        <v>13</v>
      </c>
      <c r="H748" s="125" t="s">
        <v>283</v>
      </c>
      <c r="I748" s="220">
        <v>48010</v>
      </c>
      <c r="J748" s="219">
        <v>3</v>
      </c>
    </row>
    <row r="749" spans="1:10" x14ac:dyDescent="0.25">
      <c r="A749" s="222" t="s">
        <v>427</v>
      </c>
      <c r="B749" s="125" t="s">
        <v>266</v>
      </c>
      <c r="C749" s="125" t="s">
        <v>930</v>
      </c>
      <c r="D749" s="125" t="s">
        <v>247</v>
      </c>
      <c r="E749" s="221">
        <v>37141</v>
      </c>
      <c r="F749" s="125" t="str">
        <f>CHOOSE(MONTH(E749),"January","February","March","April","May","June","July","August","September","October","November","December")</f>
        <v>September</v>
      </c>
      <c r="G749" s="125">
        <f ca="1">DATEDIF(E749,TODAY(),"Y")</f>
        <v>15</v>
      </c>
      <c r="I749" s="220">
        <v>25530</v>
      </c>
      <c r="J749" s="219">
        <v>3</v>
      </c>
    </row>
    <row r="750" spans="1:10" x14ac:dyDescent="0.25">
      <c r="A750" s="222" t="s">
        <v>414</v>
      </c>
      <c r="B750" s="125" t="s">
        <v>285</v>
      </c>
      <c r="C750" s="125" t="s">
        <v>930</v>
      </c>
      <c r="D750" s="125" t="s">
        <v>256</v>
      </c>
      <c r="E750" s="221">
        <v>40568</v>
      </c>
      <c r="F750" s="125" t="str">
        <f>CHOOSE(MONTH(E750),"January","February","March","April","May","June","July","August","September","October","November","December")</f>
        <v>January</v>
      </c>
      <c r="G750" s="125">
        <f ca="1">DATEDIF(E750,TODAY(),"Y")</f>
        <v>5</v>
      </c>
      <c r="H750" s="125" t="s">
        <v>257</v>
      </c>
      <c r="I750" s="220">
        <v>46390</v>
      </c>
      <c r="J750" s="219">
        <v>5</v>
      </c>
    </row>
    <row r="751" spans="1:10" x14ac:dyDescent="0.25">
      <c r="A751" s="222" t="s">
        <v>413</v>
      </c>
      <c r="B751" s="125" t="s">
        <v>285</v>
      </c>
      <c r="C751" s="125" t="s">
        <v>930</v>
      </c>
      <c r="D751" s="125" t="s">
        <v>261</v>
      </c>
      <c r="E751" s="221">
        <v>34140</v>
      </c>
      <c r="F751" s="125" t="str">
        <f>CHOOSE(MONTH(E751),"January","February","March","April","May","June","July","August","September","October","November","December")</f>
        <v>June</v>
      </c>
      <c r="G751" s="125">
        <f ca="1">DATEDIF(E751,TODAY(),"Y")</f>
        <v>23</v>
      </c>
      <c r="H751" s="125" t="s">
        <v>276</v>
      </c>
      <c r="I751" s="220">
        <v>11230</v>
      </c>
      <c r="J751" s="219">
        <v>4</v>
      </c>
    </row>
    <row r="752" spans="1:10" x14ac:dyDescent="0.25">
      <c r="A752" s="222" t="s">
        <v>989</v>
      </c>
      <c r="B752" s="125" t="s">
        <v>271</v>
      </c>
      <c r="C752" s="125" t="s">
        <v>930</v>
      </c>
      <c r="D752" s="125" t="s">
        <v>256</v>
      </c>
      <c r="E752" s="221">
        <v>33279</v>
      </c>
      <c r="F752" s="125" t="str">
        <f>CHOOSE(MONTH(E752),"January","February","March","April","May","June","July","August","September","October","November","December")</f>
        <v>February</v>
      </c>
      <c r="G752" s="125">
        <f ca="1">DATEDIF(E752,TODAY(),"Y")</f>
        <v>25</v>
      </c>
      <c r="H752" s="125" t="s">
        <v>257</v>
      </c>
      <c r="I752" s="220">
        <v>24200</v>
      </c>
      <c r="J752" s="219">
        <v>5</v>
      </c>
    </row>
    <row r="753" spans="1:10" x14ac:dyDescent="0.25">
      <c r="A753" s="222" t="s">
        <v>725</v>
      </c>
      <c r="B753" s="125" t="s">
        <v>271</v>
      </c>
      <c r="C753" s="125" t="s">
        <v>930</v>
      </c>
      <c r="D753" s="125" t="s">
        <v>256</v>
      </c>
      <c r="E753" s="221">
        <v>40680</v>
      </c>
      <c r="F753" s="125" t="str">
        <f>CHOOSE(MONTH(E753),"January","February","March","April","May","June","July","August","September","October","November","December")</f>
        <v>May</v>
      </c>
      <c r="G753" s="125">
        <f ca="1">DATEDIF(E753,TODAY(),"Y")</f>
        <v>5</v>
      </c>
      <c r="H753" s="125" t="s">
        <v>257</v>
      </c>
      <c r="I753" s="220">
        <v>23030</v>
      </c>
      <c r="J753" s="219">
        <v>4</v>
      </c>
    </row>
    <row r="754" spans="1:10" x14ac:dyDescent="0.25">
      <c r="A754" s="223" t="s">
        <v>1025</v>
      </c>
    </row>
    <row r="755" spans="1:10" x14ac:dyDescent="0.25">
      <c r="A755" s="222" t="s">
        <v>732</v>
      </c>
      <c r="B755" s="125" t="s">
        <v>245</v>
      </c>
      <c r="C755" s="125" t="s">
        <v>1025</v>
      </c>
      <c r="D755" s="125" t="s">
        <v>256</v>
      </c>
      <c r="E755" s="221">
        <v>37073</v>
      </c>
      <c r="F755" s="125" t="str">
        <f>CHOOSE(MONTH(E755),"January","February","March","April","May","June","July","August","September","October","November","December")</f>
        <v>July</v>
      </c>
      <c r="G755" s="125">
        <f ca="1">DATEDIF(E755,TODAY(),"Y")</f>
        <v>15</v>
      </c>
      <c r="H755" s="125" t="s">
        <v>276</v>
      </c>
      <c r="I755" s="220">
        <v>40680</v>
      </c>
      <c r="J755" s="219">
        <v>5</v>
      </c>
    </row>
    <row r="756" spans="1:10" x14ac:dyDescent="0.25">
      <c r="A756" s="222" t="s">
        <v>1022</v>
      </c>
      <c r="B756" s="125" t="s">
        <v>245</v>
      </c>
      <c r="C756" s="125" t="s">
        <v>1025</v>
      </c>
      <c r="D756" s="125" t="s">
        <v>247</v>
      </c>
      <c r="E756" s="221">
        <v>33387</v>
      </c>
      <c r="F756" s="125" t="str">
        <f>CHOOSE(MONTH(E756),"January","February","March","April","May","June","July","August","September","October","November","December")</f>
        <v>May</v>
      </c>
      <c r="G756" s="125">
        <f ca="1">DATEDIF(E756,TODAY(),"Y")</f>
        <v>25</v>
      </c>
      <c r="I756" s="220">
        <v>85510</v>
      </c>
      <c r="J756" s="219">
        <v>4</v>
      </c>
    </row>
    <row r="757" spans="1:10" x14ac:dyDescent="0.25">
      <c r="A757" s="222" t="s">
        <v>400</v>
      </c>
      <c r="B757" s="125" t="s">
        <v>266</v>
      </c>
      <c r="C757" s="125" t="s">
        <v>1025</v>
      </c>
      <c r="D757" s="125" t="s">
        <v>256</v>
      </c>
      <c r="E757" s="221">
        <v>37684</v>
      </c>
      <c r="F757" s="125" t="str">
        <f>CHOOSE(MONTH(E757),"January","February","March","April","May","June","July","August","September","October","November","December")</f>
        <v>March</v>
      </c>
      <c r="G757" s="125">
        <f ca="1">DATEDIF(E757,TODAY(),"Y")</f>
        <v>13</v>
      </c>
      <c r="H757" s="125" t="s">
        <v>283</v>
      </c>
      <c r="I757" s="220">
        <v>42800</v>
      </c>
      <c r="J757" s="219">
        <v>5</v>
      </c>
    </row>
    <row r="758" spans="1:10" x14ac:dyDescent="0.25">
      <c r="A758" s="222" t="s">
        <v>673</v>
      </c>
      <c r="B758" s="125" t="s">
        <v>271</v>
      </c>
      <c r="C758" s="125" t="s">
        <v>1025</v>
      </c>
      <c r="D758" s="125" t="s">
        <v>247</v>
      </c>
      <c r="E758" s="221">
        <v>40719</v>
      </c>
      <c r="F758" s="125" t="str">
        <f>CHOOSE(MONTH(E758),"January","February","March","April","May","June","July","August","September","October","November","December")</f>
        <v>June</v>
      </c>
      <c r="G758" s="125">
        <f ca="1">DATEDIF(E758,TODAY(),"Y")</f>
        <v>5</v>
      </c>
      <c r="I758" s="220">
        <v>66132</v>
      </c>
      <c r="J758" s="219">
        <v>4</v>
      </c>
    </row>
    <row r="759" spans="1:10" x14ac:dyDescent="0.25">
      <c r="A759" s="222" t="s">
        <v>302</v>
      </c>
      <c r="B759" s="125" t="s">
        <v>271</v>
      </c>
      <c r="C759" s="125" t="s">
        <v>1025</v>
      </c>
      <c r="D759" s="125" t="s">
        <v>256</v>
      </c>
      <c r="E759" s="221">
        <v>36991</v>
      </c>
      <c r="F759" s="125" t="str">
        <f>CHOOSE(MONTH(E759),"January","February","March","April","May","June","July","August","September","October","November","December")</f>
        <v>April</v>
      </c>
      <c r="G759" s="125">
        <f ca="1">DATEDIF(E759,TODAY(),"Y")</f>
        <v>15</v>
      </c>
      <c r="H759" s="125" t="s">
        <v>257</v>
      </c>
      <c r="I759" s="220">
        <v>63670</v>
      </c>
      <c r="J759" s="219">
        <v>5</v>
      </c>
    </row>
    <row r="760" spans="1:10" x14ac:dyDescent="0.25">
      <c r="A760" s="223" t="s">
        <v>1031</v>
      </c>
    </row>
    <row r="761" spans="1:10" x14ac:dyDescent="0.25">
      <c r="A761" s="222" t="s">
        <v>405</v>
      </c>
      <c r="B761" s="125" t="s">
        <v>266</v>
      </c>
      <c r="C761" s="125" t="s">
        <v>1031</v>
      </c>
      <c r="D761" s="125" t="s">
        <v>252</v>
      </c>
      <c r="E761" s="221">
        <v>40543</v>
      </c>
      <c r="F761" s="125" t="str">
        <f>CHOOSE(MONTH(E761),"January","February","March","April","May","June","July","August","September","October","November","December")</f>
        <v>December</v>
      </c>
      <c r="G761" s="125">
        <f ca="1">DATEDIF(E761,TODAY(),"Y")</f>
        <v>5</v>
      </c>
      <c r="I761" s="220">
        <v>19044</v>
      </c>
      <c r="J761" s="219">
        <v>1</v>
      </c>
    </row>
    <row r="762" spans="1:10" x14ac:dyDescent="0.25">
      <c r="A762" s="222" t="s">
        <v>561</v>
      </c>
      <c r="B762" s="125" t="s">
        <v>266</v>
      </c>
      <c r="C762" s="125" t="s">
        <v>1031</v>
      </c>
      <c r="D762" s="125" t="s">
        <v>261</v>
      </c>
      <c r="E762" s="221">
        <v>36557</v>
      </c>
      <c r="F762" s="125" t="str">
        <f>CHOOSE(MONTH(E762),"January","February","March","April","May","June","July","August","September","October","November","December")</f>
        <v>February</v>
      </c>
      <c r="G762" s="125">
        <f ca="1">DATEDIF(E762,TODAY(),"Y")</f>
        <v>16</v>
      </c>
      <c r="H762" s="125" t="s">
        <v>257</v>
      </c>
      <c r="I762" s="220">
        <v>31250</v>
      </c>
      <c r="J762" s="219">
        <v>2</v>
      </c>
    </row>
    <row r="763" spans="1:10" x14ac:dyDescent="0.25">
      <c r="A763" s="222" t="s">
        <v>406</v>
      </c>
      <c r="B763" s="125" t="s">
        <v>285</v>
      </c>
      <c r="C763" s="125" t="s">
        <v>1031</v>
      </c>
      <c r="D763" s="125" t="s">
        <v>247</v>
      </c>
      <c r="E763" s="221">
        <v>34525</v>
      </c>
      <c r="F763" s="125" t="str">
        <f>CHOOSE(MONTH(E763),"January","February","March","April","May","June","July","August","September","October","November","December")</f>
        <v>July</v>
      </c>
      <c r="G763" s="125">
        <f ca="1">DATEDIF(E763,TODAY(),"Y")</f>
        <v>22</v>
      </c>
      <c r="I763" s="220">
        <v>64720</v>
      </c>
      <c r="J763" s="219">
        <v>5</v>
      </c>
    </row>
    <row r="764" spans="1:10" x14ac:dyDescent="0.25">
      <c r="A764" s="222" t="s">
        <v>894</v>
      </c>
      <c r="B764" s="125" t="s">
        <v>285</v>
      </c>
      <c r="C764" s="125" t="s">
        <v>1031</v>
      </c>
      <c r="D764" s="125" t="s">
        <v>247</v>
      </c>
      <c r="E764" s="221">
        <v>34003</v>
      </c>
      <c r="F764" s="125" t="str">
        <f>CHOOSE(MONTH(E764),"January","February","March","April","May","June","July","August","September","October","November","December")</f>
        <v>February</v>
      </c>
      <c r="G764" s="125">
        <f ca="1">DATEDIF(E764,TODAY(),"Y")</f>
        <v>23</v>
      </c>
      <c r="I764" s="220">
        <v>60760</v>
      </c>
      <c r="J764" s="219">
        <v>2</v>
      </c>
    </row>
    <row r="765" spans="1:10" x14ac:dyDescent="0.25">
      <c r="A765" s="222" t="s">
        <v>737</v>
      </c>
      <c r="B765" s="125" t="s">
        <v>251</v>
      </c>
      <c r="C765" s="125" t="s">
        <v>1031</v>
      </c>
      <c r="D765" s="125" t="s">
        <v>256</v>
      </c>
      <c r="E765" s="221">
        <v>40384</v>
      </c>
      <c r="F765" s="125" t="str">
        <f>CHOOSE(MONTH(E765),"January","February","March","April","May","June","July","August","September","October","November","December")</f>
        <v>July</v>
      </c>
      <c r="G765" s="125">
        <f ca="1">DATEDIF(E765,TODAY(),"Y")</f>
        <v>6</v>
      </c>
      <c r="H765" s="125" t="s">
        <v>257</v>
      </c>
      <c r="I765" s="220">
        <v>46680</v>
      </c>
      <c r="J765" s="21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FF"/>
    <pageSetUpPr autoPageBreaks="0"/>
  </sheetPr>
  <dimension ref="A1:L764"/>
  <sheetViews>
    <sheetView topLeftCell="A229" zoomScale="115" zoomScaleNormal="115" zoomScaleSheetLayoutView="100" workbookViewId="0">
      <selection activeCell="B35" sqref="B35"/>
    </sheetView>
  </sheetViews>
  <sheetFormatPr defaultColWidth="19.85546875" defaultRowHeight="13.5" x14ac:dyDescent="0.25"/>
  <cols>
    <col min="1" max="1" width="19.5703125" style="94" bestFit="1" customWidth="1"/>
    <col min="2" max="2" width="8.28515625" style="94" bestFit="1" customWidth="1"/>
    <col min="3" max="3" width="27.28515625" style="94" bestFit="1" customWidth="1"/>
    <col min="4" max="4" width="12.42578125" style="94" bestFit="1" customWidth="1"/>
    <col min="5" max="5" width="14.85546875" style="94" bestFit="1" customWidth="1"/>
    <col min="6" max="6" width="9.7109375" style="94" bestFit="1" customWidth="1"/>
    <col min="7" max="7" width="10.7109375" style="94" bestFit="1" customWidth="1"/>
    <col min="8" max="8" width="10.85546875" style="94" bestFit="1" customWidth="1"/>
    <col min="9" max="9" width="6" style="94" bestFit="1" customWidth="1"/>
    <col min="10" max="11" width="8.42578125" style="94" bestFit="1" customWidth="1"/>
    <col min="12" max="12" width="10.140625" style="94" bestFit="1" customWidth="1"/>
    <col min="13" max="16384" width="19.85546875" style="94"/>
  </cols>
  <sheetData>
    <row r="1" spans="1:12" ht="15" x14ac:dyDescent="0.25">
      <c r="A1" s="29" t="s">
        <v>229</v>
      </c>
      <c r="B1" s="30" t="s">
        <v>230</v>
      </c>
      <c r="C1" s="31" t="s">
        <v>231</v>
      </c>
      <c r="D1" s="32" t="s">
        <v>232</v>
      </c>
      <c r="E1" s="33" t="s">
        <v>233</v>
      </c>
      <c r="F1" s="31" t="s">
        <v>234</v>
      </c>
      <c r="G1" s="34" t="s">
        <v>235</v>
      </c>
      <c r="H1" s="34" t="s">
        <v>236</v>
      </c>
      <c r="I1" s="36" t="s">
        <v>237</v>
      </c>
      <c r="J1" s="31" t="s">
        <v>238</v>
      </c>
      <c r="K1" s="37" t="s">
        <v>239</v>
      </c>
      <c r="L1" s="30" t="s">
        <v>240</v>
      </c>
    </row>
    <row r="2" spans="1:12" ht="15" x14ac:dyDescent="0.25">
      <c r="A2" s="42" t="s">
        <v>863</v>
      </c>
      <c r="B2" s="49" t="s">
        <v>251</v>
      </c>
      <c r="C2" s="48" t="s">
        <v>246</v>
      </c>
      <c r="D2" s="50">
        <v>411526157</v>
      </c>
      <c r="E2" s="51">
        <v>9195818082</v>
      </c>
      <c r="F2" s="48" t="s">
        <v>252</v>
      </c>
      <c r="G2" s="108">
        <v>33846</v>
      </c>
      <c r="H2" s="108" t="str">
        <f>CHOOSE(MONTH(G2),"January","February","March","April","May","June","July","August","September","October","November","December")</f>
        <v>August</v>
      </c>
      <c r="I2" s="54">
        <f ca="1">DATEDIF(G2,TODAY(),"Y")</f>
        <v>24</v>
      </c>
      <c r="J2" s="55"/>
      <c r="K2" s="56">
        <v>35680</v>
      </c>
      <c r="L2" s="57">
        <v>2</v>
      </c>
    </row>
    <row r="3" spans="1:12" ht="15" x14ac:dyDescent="0.25">
      <c r="A3" s="42" t="s">
        <v>357</v>
      </c>
      <c r="B3" s="49" t="s">
        <v>245</v>
      </c>
      <c r="C3" s="48" t="s">
        <v>246</v>
      </c>
      <c r="D3" s="50">
        <v>914428485</v>
      </c>
      <c r="E3" s="51">
        <v>2521774590</v>
      </c>
      <c r="F3" s="48" t="s">
        <v>261</v>
      </c>
      <c r="G3" s="108">
        <v>33290</v>
      </c>
      <c r="H3" s="108" t="str">
        <f>CHOOSE(MONTH(G3),"January","February","March","April","May","June","July","August","September","October","November","December")</f>
        <v>February</v>
      </c>
      <c r="I3" s="54">
        <f ca="1">DATEDIF(G3,TODAY(),"Y")</f>
        <v>25</v>
      </c>
      <c r="J3" s="55" t="s">
        <v>262</v>
      </c>
      <c r="K3" s="56">
        <v>26795</v>
      </c>
      <c r="L3" s="57">
        <v>4</v>
      </c>
    </row>
    <row r="4" spans="1:12" ht="15" x14ac:dyDescent="0.25">
      <c r="A4" s="42" t="s">
        <v>740</v>
      </c>
      <c r="B4" s="49" t="s">
        <v>266</v>
      </c>
      <c r="C4" s="48" t="s">
        <v>246</v>
      </c>
      <c r="D4" s="50">
        <v>991656720</v>
      </c>
      <c r="E4" s="51">
        <v>2528138394</v>
      </c>
      <c r="F4" s="48" t="s">
        <v>256</v>
      </c>
      <c r="G4" s="108">
        <v>39447</v>
      </c>
      <c r="H4" s="108" t="str">
        <f>CHOOSE(MONTH(G4),"January","February","March","April","May","June","July","August","September","October","November","December")</f>
        <v>December</v>
      </c>
      <c r="I4" s="54">
        <f ca="1">DATEDIF(G4,TODAY(),"Y")</f>
        <v>8</v>
      </c>
      <c r="J4" s="55" t="s">
        <v>267</v>
      </c>
      <c r="K4" s="56">
        <v>72830</v>
      </c>
      <c r="L4" s="57">
        <v>2</v>
      </c>
    </row>
    <row r="5" spans="1:12" ht="15" x14ac:dyDescent="0.25">
      <c r="A5" s="42" t="s">
        <v>790</v>
      </c>
      <c r="B5" s="49" t="s">
        <v>245</v>
      </c>
      <c r="C5" s="48" t="s">
        <v>246</v>
      </c>
      <c r="D5" s="50">
        <v>948195711</v>
      </c>
      <c r="E5" s="51">
        <v>2523539786</v>
      </c>
      <c r="F5" s="48" t="s">
        <v>247</v>
      </c>
      <c r="G5" s="108">
        <v>39147</v>
      </c>
      <c r="H5" s="108" t="str">
        <f>CHOOSE(MONTH(G5),"January","February","March","April","May","June","July","August","September","October","November","December")</f>
        <v>March</v>
      </c>
      <c r="I5" s="54">
        <f ca="1">DATEDIF(G5,TODAY(),"Y")</f>
        <v>9</v>
      </c>
      <c r="J5" s="55"/>
      <c r="K5" s="56">
        <v>42540</v>
      </c>
      <c r="L5" s="57">
        <v>5</v>
      </c>
    </row>
    <row r="6" spans="1:12" ht="15" x14ac:dyDescent="0.25">
      <c r="A6" s="42" t="s">
        <v>951</v>
      </c>
      <c r="B6" s="49" t="s">
        <v>245</v>
      </c>
      <c r="C6" s="48" t="s">
        <v>246</v>
      </c>
      <c r="D6" s="50">
        <v>100432924</v>
      </c>
      <c r="E6" s="51">
        <v>4022804104</v>
      </c>
      <c r="F6" s="48" t="s">
        <v>256</v>
      </c>
      <c r="G6" s="108">
        <v>36171</v>
      </c>
      <c r="H6" s="108" t="str">
        <f>CHOOSE(MONTH(G6),"January","February","March","April","May","June","July","August","September","October","November","December")</f>
        <v>January</v>
      </c>
      <c r="I6" s="54">
        <f ca="1">DATEDIF(G6,TODAY(),"Y")</f>
        <v>17</v>
      </c>
      <c r="J6" s="55" t="s">
        <v>257</v>
      </c>
      <c r="K6" s="56">
        <v>24550</v>
      </c>
      <c r="L6" s="57">
        <v>1</v>
      </c>
    </row>
    <row r="7" spans="1:12" ht="15" x14ac:dyDescent="0.25">
      <c r="A7" s="42"/>
      <c r="B7" s="49"/>
      <c r="C7" s="118"/>
      <c r="D7" s="50"/>
      <c r="E7" s="51"/>
      <c r="F7" s="48"/>
      <c r="G7" s="108"/>
      <c r="H7" s="108"/>
      <c r="I7" s="54"/>
      <c r="J7" s="55"/>
      <c r="K7" s="56"/>
      <c r="L7" s="57"/>
    </row>
    <row r="8" spans="1:12" ht="15" x14ac:dyDescent="0.25">
      <c r="A8" s="42" t="s">
        <v>946</v>
      </c>
      <c r="B8" s="49" t="s">
        <v>280</v>
      </c>
      <c r="C8" s="48" t="s">
        <v>272</v>
      </c>
      <c r="D8" s="50">
        <v>475256935</v>
      </c>
      <c r="E8" s="51">
        <v>2527852326</v>
      </c>
      <c r="F8" s="48" t="s">
        <v>256</v>
      </c>
      <c r="G8" s="108">
        <v>35742</v>
      </c>
      <c r="H8" s="108" t="str">
        <f>CHOOSE(MONTH(G8),"January","February","March","April","May","June","July","August","September","October","November","December")</f>
        <v>November</v>
      </c>
      <c r="I8" s="54">
        <f ca="1">DATEDIF(G8,TODAY(),"Y")</f>
        <v>19</v>
      </c>
      <c r="J8" s="55" t="s">
        <v>283</v>
      </c>
      <c r="K8" s="56">
        <v>85300</v>
      </c>
      <c r="L8" s="57">
        <v>2</v>
      </c>
    </row>
    <row r="9" spans="1:12" ht="15" x14ac:dyDescent="0.25">
      <c r="A9" s="42" t="s">
        <v>552</v>
      </c>
      <c r="B9" s="49" t="s">
        <v>271</v>
      </c>
      <c r="C9" s="48" t="s">
        <v>272</v>
      </c>
      <c r="D9" s="50">
        <v>535539723</v>
      </c>
      <c r="E9" s="51">
        <v>2523492633</v>
      </c>
      <c r="F9" s="48" t="s">
        <v>261</v>
      </c>
      <c r="G9" s="108">
        <v>33474</v>
      </c>
      <c r="H9" s="108" t="str">
        <f>CHOOSE(MONTH(G9),"January","February","March","April","May","June","July","August","September","October","November","December")</f>
        <v>August</v>
      </c>
      <c r="I9" s="54">
        <f ca="1">DATEDIF(G9,TODAY(),"Y")</f>
        <v>25</v>
      </c>
      <c r="J9" s="55" t="s">
        <v>262</v>
      </c>
      <c r="K9" s="56">
        <v>30445</v>
      </c>
      <c r="L9" s="57">
        <v>1</v>
      </c>
    </row>
    <row r="10" spans="1:12" ht="15" x14ac:dyDescent="0.25">
      <c r="A10" s="42" t="s">
        <v>717</v>
      </c>
      <c r="B10" s="49" t="s">
        <v>285</v>
      </c>
      <c r="C10" s="42" t="s">
        <v>272</v>
      </c>
      <c r="D10" s="75">
        <v>608796012</v>
      </c>
      <c r="E10" s="76">
        <v>9194075460</v>
      </c>
      <c r="F10" s="42" t="s">
        <v>256</v>
      </c>
      <c r="G10" s="84">
        <v>33831</v>
      </c>
      <c r="H10" s="108" t="str">
        <f>CHOOSE(MONTH(G10),"January","February","March","April","May","June","July","August","September","October","November","December")</f>
        <v>August</v>
      </c>
      <c r="I10" s="54">
        <f ca="1">DATEDIF(G10,TODAY(),"Y")</f>
        <v>24</v>
      </c>
      <c r="J10" s="55" t="s">
        <v>257</v>
      </c>
      <c r="K10" s="56">
        <v>79760</v>
      </c>
      <c r="L10" s="57">
        <v>5</v>
      </c>
    </row>
    <row r="11" spans="1:12" ht="15" x14ac:dyDescent="0.25">
      <c r="A11" s="42" t="s">
        <v>766</v>
      </c>
      <c r="B11" s="49" t="s">
        <v>245</v>
      </c>
      <c r="C11" s="48" t="s">
        <v>272</v>
      </c>
      <c r="D11" s="50">
        <v>771277493</v>
      </c>
      <c r="E11" s="51">
        <v>2522872439</v>
      </c>
      <c r="F11" s="48" t="s">
        <v>252</v>
      </c>
      <c r="G11" s="108">
        <v>40126</v>
      </c>
      <c r="H11" s="108" t="str">
        <f>CHOOSE(MONTH(G11),"January","February","March","April","May","June","July","August","September","October","November","December")</f>
        <v>November</v>
      </c>
      <c r="I11" s="54">
        <f ca="1">DATEDIF(G11,TODAY(),"Y")</f>
        <v>7</v>
      </c>
      <c r="J11" s="55"/>
      <c r="K11" s="56">
        <v>10636</v>
      </c>
      <c r="L11" s="57">
        <v>4</v>
      </c>
    </row>
    <row r="12" spans="1:12" ht="15" x14ac:dyDescent="0.25">
      <c r="A12" s="42" t="s">
        <v>707</v>
      </c>
      <c r="B12" s="49" t="s">
        <v>245</v>
      </c>
      <c r="C12" s="42" t="s">
        <v>272</v>
      </c>
      <c r="D12" s="75">
        <v>767961463</v>
      </c>
      <c r="E12" s="76">
        <v>2523646601</v>
      </c>
      <c r="F12" s="42" t="s">
        <v>247</v>
      </c>
      <c r="G12" s="84">
        <v>36777</v>
      </c>
      <c r="H12" s="108" t="str">
        <f>CHOOSE(MONTH(G12),"January","February","March","April","May","June","July","August","September","October","November","December")</f>
        <v>September</v>
      </c>
      <c r="I12" s="54">
        <f ca="1">DATEDIF(G12,TODAY(),"Y")</f>
        <v>16</v>
      </c>
      <c r="J12" s="55"/>
      <c r="K12" s="56">
        <v>76690</v>
      </c>
      <c r="L12" s="57">
        <v>3</v>
      </c>
    </row>
    <row r="13" spans="1:12" ht="15" x14ac:dyDescent="0.25">
      <c r="A13" s="42" t="s">
        <v>418</v>
      </c>
      <c r="B13" s="49" t="s">
        <v>285</v>
      </c>
      <c r="C13" s="42" t="s">
        <v>272</v>
      </c>
      <c r="D13" s="75">
        <v>542051793</v>
      </c>
      <c r="E13" s="76">
        <v>2527317354</v>
      </c>
      <c r="F13" s="42" t="s">
        <v>256</v>
      </c>
      <c r="G13" s="84">
        <v>36260</v>
      </c>
      <c r="H13" s="108" t="str">
        <f>CHOOSE(MONTH(G13),"January","February","March","April","May","June","July","August","September","October","November","December")</f>
        <v>April</v>
      </c>
      <c r="I13" s="54">
        <f ca="1">DATEDIF(G13,TODAY(),"Y")</f>
        <v>17</v>
      </c>
      <c r="J13" s="55" t="s">
        <v>257</v>
      </c>
      <c r="K13" s="56">
        <v>75150</v>
      </c>
      <c r="L13" s="57">
        <v>1</v>
      </c>
    </row>
    <row r="14" spans="1:12" ht="15" x14ac:dyDescent="0.25">
      <c r="A14" s="42" t="s">
        <v>1005</v>
      </c>
      <c r="B14" s="49" t="s">
        <v>266</v>
      </c>
      <c r="C14" s="42" t="s">
        <v>272</v>
      </c>
      <c r="D14" s="75">
        <v>456946966</v>
      </c>
      <c r="E14" s="76">
        <v>9194680033</v>
      </c>
      <c r="F14" s="42" t="s">
        <v>256</v>
      </c>
      <c r="G14" s="84">
        <v>36764</v>
      </c>
      <c r="H14" s="108" t="str">
        <f>CHOOSE(MONTH(G14),"January","February","March","April","May","June","July","August","September","October","November","December")</f>
        <v>August</v>
      </c>
      <c r="I14" s="54">
        <f ca="1">DATEDIF(G14,TODAY(),"Y")</f>
        <v>16</v>
      </c>
      <c r="J14" s="55" t="s">
        <v>276</v>
      </c>
      <c r="K14" s="56">
        <v>74840</v>
      </c>
      <c r="L14" s="57">
        <v>4</v>
      </c>
    </row>
    <row r="15" spans="1:12" ht="15" x14ac:dyDescent="0.25">
      <c r="A15" s="42" t="s">
        <v>617</v>
      </c>
      <c r="B15" s="49" t="s">
        <v>266</v>
      </c>
      <c r="C15" s="42" t="s">
        <v>272</v>
      </c>
      <c r="D15" s="75">
        <v>840313216</v>
      </c>
      <c r="E15" s="76">
        <v>9198449868</v>
      </c>
      <c r="F15" s="42" t="s">
        <v>256</v>
      </c>
      <c r="G15" s="84">
        <v>39069</v>
      </c>
      <c r="H15" s="108" t="str">
        <f>CHOOSE(MONTH(G15),"January","February","March","April","May","June","July","August","September","October","November","December")</f>
        <v>December</v>
      </c>
      <c r="I15" s="54">
        <f ca="1">DATEDIF(G15,TODAY(),"Y")</f>
        <v>9</v>
      </c>
      <c r="J15" s="55" t="s">
        <v>267</v>
      </c>
      <c r="K15" s="56">
        <v>37670</v>
      </c>
      <c r="L15" s="57">
        <v>3</v>
      </c>
    </row>
    <row r="16" spans="1:12" ht="15" x14ac:dyDescent="0.25">
      <c r="A16" s="42" t="s">
        <v>702</v>
      </c>
      <c r="B16" s="49" t="s">
        <v>251</v>
      </c>
      <c r="C16" s="42" t="s">
        <v>272</v>
      </c>
      <c r="D16" s="75">
        <v>481336564</v>
      </c>
      <c r="E16" s="76">
        <v>9196479087</v>
      </c>
      <c r="F16" s="42" t="s">
        <v>256</v>
      </c>
      <c r="G16" s="84">
        <v>36143</v>
      </c>
      <c r="H16" s="108" t="str">
        <f>CHOOSE(MONTH(G16),"January","February","March","April","May","June","July","August","September","October","November","December")</f>
        <v>December</v>
      </c>
      <c r="I16" s="54">
        <f ca="1">DATEDIF(G16,TODAY(),"Y")</f>
        <v>17</v>
      </c>
      <c r="J16" s="55" t="s">
        <v>283</v>
      </c>
      <c r="K16" s="56">
        <v>72090</v>
      </c>
      <c r="L16" s="57">
        <v>5</v>
      </c>
    </row>
    <row r="17" spans="1:12" ht="15" x14ac:dyDescent="0.25">
      <c r="A17" s="42" t="s">
        <v>977</v>
      </c>
      <c r="B17" s="49" t="s">
        <v>271</v>
      </c>
      <c r="C17" s="42" t="s">
        <v>272</v>
      </c>
      <c r="D17" s="75">
        <v>781913936</v>
      </c>
      <c r="E17" s="76">
        <v>9197889149</v>
      </c>
      <c r="F17" s="42" t="s">
        <v>261</v>
      </c>
      <c r="G17" s="84">
        <v>37782</v>
      </c>
      <c r="H17" s="108" t="str">
        <f>CHOOSE(MONTH(G17),"January","February","March","April","May","June","July","August","September","October","November","December")</f>
        <v>June</v>
      </c>
      <c r="I17" s="54">
        <f ca="1">DATEDIF(G17,TODAY(),"Y")</f>
        <v>13</v>
      </c>
      <c r="J17" s="55" t="s">
        <v>276</v>
      </c>
      <c r="K17" s="56">
        <v>17735</v>
      </c>
      <c r="L17" s="57">
        <v>3</v>
      </c>
    </row>
    <row r="18" spans="1:12" ht="15" x14ac:dyDescent="0.25">
      <c r="A18" s="42" t="s">
        <v>581</v>
      </c>
      <c r="B18" s="49" t="s">
        <v>271</v>
      </c>
      <c r="C18" s="42" t="s">
        <v>272</v>
      </c>
      <c r="D18" s="75">
        <v>202815919</v>
      </c>
      <c r="E18" s="76">
        <v>2528467597</v>
      </c>
      <c r="F18" s="42" t="s">
        <v>247</v>
      </c>
      <c r="G18" s="84">
        <v>34076</v>
      </c>
      <c r="H18" s="108" t="str">
        <f>CHOOSE(MONTH(G18),"January","February","March","April","May","June","July","August","September","October","November","December")</f>
        <v>April</v>
      </c>
      <c r="I18" s="54">
        <f ca="1">DATEDIF(G18,TODAY(),"Y")</f>
        <v>23</v>
      </c>
      <c r="J18" s="55"/>
      <c r="K18" s="56">
        <v>66580</v>
      </c>
      <c r="L18" s="57">
        <v>5</v>
      </c>
    </row>
    <row r="19" spans="1:12" ht="15" x14ac:dyDescent="0.25">
      <c r="A19" s="42" t="s">
        <v>655</v>
      </c>
      <c r="B19" s="49" t="s">
        <v>280</v>
      </c>
      <c r="C19" s="48" t="s">
        <v>272</v>
      </c>
      <c r="D19" s="50">
        <v>415076748</v>
      </c>
      <c r="E19" s="51">
        <v>9195230846</v>
      </c>
      <c r="F19" s="48" t="s">
        <v>252</v>
      </c>
      <c r="G19" s="108">
        <v>33482</v>
      </c>
      <c r="H19" s="108" t="str">
        <f>CHOOSE(MONTH(G19),"January","February","March","April","May","June","July","August","September","October","November","December")</f>
        <v>September</v>
      </c>
      <c r="I19" s="54">
        <f ca="1">DATEDIF(G19,TODAY(),"Y")</f>
        <v>25</v>
      </c>
      <c r="J19" s="55" t="s">
        <v>257</v>
      </c>
      <c r="K19" s="56">
        <v>29070</v>
      </c>
      <c r="L19" s="57">
        <v>3</v>
      </c>
    </row>
    <row r="20" spans="1:12" ht="15" x14ac:dyDescent="0.25">
      <c r="A20" s="42" t="s">
        <v>632</v>
      </c>
      <c r="B20" s="49" t="s">
        <v>251</v>
      </c>
      <c r="C20" s="42" t="s">
        <v>272</v>
      </c>
      <c r="D20" s="75">
        <v>975603308</v>
      </c>
      <c r="E20" s="76">
        <v>9192693355</v>
      </c>
      <c r="F20" s="42" t="s">
        <v>256</v>
      </c>
      <c r="G20" s="84">
        <v>37404</v>
      </c>
      <c r="H20" s="108" t="str">
        <f>CHOOSE(MONTH(G20),"January","February","March","April","May","June","July","August","September","October","November","December")</f>
        <v>May</v>
      </c>
      <c r="I20" s="54">
        <f ca="1">DATEDIF(G20,TODAY(),"Y")</f>
        <v>14</v>
      </c>
      <c r="J20" s="55" t="s">
        <v>257</v>
      </c>
      <c r="K20" s="56">
        <v>30780</v>
      </c>
      <c r="L20" s="57">
        <v>4</v>
      </c>
    </row>
    <row r="21" spans="1:12" ht="15" x14ac:dyDescent="0.25">
      <c r="A21" s="42" t="s">
        <v>335</v>
      </c>
      <c r="B21" s="49" t="s">
        <v>285</v>
      </c>
      <c r="C21" s="42" t="s">
        <v>272</v>
      </c>
      <c r="D21" s="75">
        <v>768681542</v>
      </c>
      <c r="E21" s="76">
        <v>8021673267</v>
      </c>
      <c r="F21" s="42" t="s">
        <v>256</v>
      </c>
      <c r="G21" s="84">
        <v>35464</v>
      </c>
      <c r="H21" s="108" t="str">
        <f>CHOOSE(MONTH(G21),"January","February","March","April","May","June","July","August","September","October","November","December")</f>
        <v>February</v>
      </c>
      <c r="I21" s="54">
        <f ca="1">DATEDIF(G21,TODAY(),"Y")</f>
        <v>19</v>
      </c>
      <c r="J21" s="55" t="s">
        <v>257</v>
      </c>
      <c r="K21" s="56">
        <v>60830</v>
      </c>
      <c r="L21" s="57">
        <v>2</v>
      </c>
    </row>
    <row r="22" spans="1:12" ht="15" x14ac:dyDescent="0.25">
      <c r="A22" s="42" t="s">
        <v>768</v>
      </c>
      <c r="B22" s="49" t="s">
        <v>271</v>
      </c>
      <c r="C22" s="48" t="s">
        <v>272</v>
      </c>
      <c r="D22" s="50">
        <v>638271383</v>
      </c>
      <c r="E22" s="51">
        <v>2521641031</v>
      </c>
      <c r="F22" s="48" t="s">
        <v>256</v>
      </c>
      <c r="G22" s="108">
        <v>38142</v>
      </c>
      <c r="H22" s="108" t="str">
        <f>CHOOSE(MONTH(G22),"January","February","March","April","May","June","July","August","September","October","November","December")</f>
        <v>June</v>
      </c>
      <c r="I22" s="54">
        <f ca="1">DATEDIF(G22,TODAY(),"Y")</f>
        <v>12</v>
      </c>
      <c r="J22" s="55" t="s">
        <v>257</v>
      </c>
      <c r="K22" s="56">
        <v>49350</v>
      </c>
      <c r="L22" s="57">
        <v>4</v>
      </c>
    </row>
    <row r="23" spans="1:12" ht="15" x14ac:dyDescent="0.25">
      <c r="A23" s="42" t="s">
        <v>747</v>
      </c>
      <c r="B23" s="49" t="s">
        <v>245</v>
      </c>
      <c r="C23" s="48" t="s">
        <v>272</v>
      </c>
      <c r="D23" s="50">
        <v>297852686</v>
      </c>
      <c r="E23" s="51">
        <v>2525832994</v>
      </c>
      <c r="F23" s="48" t="s">
        <v>256</v>
      </c>
      <c r="G23" s="108">
        <v>39704</v>
      </c>
      <c r="H23" s="108" t="str">
        <f>CHOOSE(MONTH(G23),"January","February","March","April","May","June","July","August","September","October","November","December")</f>
        <v>September</v>
      </c>
      <c r="I23" s="54">
        <f ca="1">DATEDIF(G23,TODAY(),"Y")</f>
        <v>8</v>
      </c>
      <c r="J23" s="55" t="s">
        <v>276</v>
      </c>
      <c r="K23" s="56">
        <v>58290</v>
      </c>
      <c r="L23" s="57">
        <v>5</v>
      </c>
    </row>
    <row r="24" spans="1:12" ht="15" x14ac:dyDescent="0.25">
      <c r="A24" s="42" t="s">
        <v>421</v>
      </c>
      <c r="B24" s="49" t="s">
        <v>251</v>
      </c>
      <c r="C24" s="48" t="s">
        <v>272</v>
      </c>
      <c r="D24" s="50">
        <v>356110882</v>
      </c>
      <c r="E24" s="51">
        <v>2527936742</v>
      </c>
      <c r="F24" s="48" t="s">
        <v>261</v>
      </c>
      <c r="G24" s="108">
        <v>36217</v>
      </c>
      <c r="H24" s="108" t="str">
        <f>CHOOSE(MONTH(G24),"January","February","March","April","May","June","July","August","September","October","November","December")</f>
        <v>February</v>
      </c>
      <c r="I24" s="54">
        <f ca="1">DATEDIF(G24,TODAY(),"Y")</f>
        <v>17</v>
      </c>
      <c r="J24" s="55" t="s">
        <v>257</v>
      </c>
      <c r="K24" s="56">
        <v>15240</v>
      </c>
      <c r="L24" s="57">
        <v>1</v>
      </c>
    </row>
    <row r="25" spans="1:12" ht="15" x14ac:dyDescent="0.25">
      <c r="A25" s="42"/>
      <c r="B25" s="49"/>
      <c r="C25" s="118"/>
      <c r="D25" s="50"/>
      <c r="E25" s="51"/>
      <c r="F25" s="48"/>
      <c r="G25" s="108"/>
      <c r="H25" s="108"/>
      <c r="I25" s="54"/>
      <c r="J25" s="55"/>
      <c r="K25" s="56"/>
      <c r="L25" s="57"/>
    </row>
    <row r="26" spans="1:12" ht="15" x14ac:dyDescent="0.25">
      <c r="A26" s="42" t="s">
        <v>547</v>
      </c>
      <c r="B26" s="49" t="s">
        <v>271</v>
      </c>
      <c r="C26" s="42" t="s">
        <v>296</v>
      </c>
      <c r="D26" s="75">
        <v>243350742</v>
      </c>
      <c r="E26" s="76">
        <v>2528304204</v>
      </c>
      <c r="F26" s="42" t="s">
        <v>252</v>
      </c>
      <c r="G26" s="84">
        <v>35674</v>
      </c>
      <c r="H26" s="108" t="str">
        <f>CHOOSE(MONTH(G26),"January","February","March","April","May","June","July","August","September","October","November","December")</f>
        <v>September</v>
      </c>
      <c r="I26" s="54">
        <f ca="1">DATEDIF(G26,TODAY(),"Y")</f>
        <v>19</v>
      </c>
      <c r="J26" s="55"/>
      <c r="K26" s="56">
        <v>20028</v>
      </c>
      <c r="L26" s="57">
        <v>4</v>
      </c>
    </row>
    <row r="27" spans="1:12" ht="15" x14ac:dyDescent="0.25">
      <c r="A27" s="42" t="s">
        <v>571</v>
      </c>
      <c r="B27" s="49" t="s">
        <v>251</v>
      </c>
      <c r="C27" s="42" t="s">
        <v>296</v>
      </c>
      <c r="D27" s="75">
        <v>764375259</v>
      </c>
      <c r="E27" s="76">
        <v>2527515181</v>
      </c>
      <c r="F27" s="42" t="s">
        <v>256</v>
      </c>
      <c r="G27" s="84">
        <v>38051</v>
      </c>
      <c r="H27" s="108" t="str">
        <f>CHOOSE(MONTH(G27),"January","February","March","April","May","June","July","August","September","October","November","December")</f>
        <v>March</v>
      </c>
      <c r="I27" s="54">
        <f ca="1">DATEDIF(G27,TODAY(),"Y")</f>
        <v>12</v>
      </c>
      <c r="J27" s="55" t="s">
        <v>257</v>
      </c>
      <c r="K27" s="56">
        <v>30350</v>
      </c>
      <c r="L27" s="57">
        <v>1</v>
      </c>
    </row>
    <row r="28" spans="1:12" ht="15" x14ac:dyDescent="0.25">
      <c r="A28" s="42" t="s">
        <v>385</v>
      </c>
      <c r="B28" s="49" t="s">
        <v>245</v>
      </c>
      <c r="C28" s="42" t="s">
        <v>296</v>
      </c>
      <c r="D28" s="75">
        <v>278431222</v>
      </c>
      <c r="E28" s="76">
        <v>9196699611</v>
      </c>
      <c r="F28" s="42" t="s">
        <v>256</v>
      </c>
      <c r="G28" s="84">
        <v>36893</v>
      </c>
      <c r="H28" s="108" t="str">
        <f>CHOOSE(MONTH(G28),"January","February","March","April","May","June","July","August","September","October","November","December")</f>
        <v>January</v>
      </c>
      <c r="I28" s="54">
        <f ca="1">DATEDIF(G28,TODAY(),"Y")</f>
        <v>15</v>
      </c>
      <c r="J28" s="55" t="s">
        <v>283</v>
      </c>
      <c r="K28" s="56">
        <v>33640</v>
      </c>
      <c r="L28" s="57">
        <v>3</v>
      </c>
    </row>
    <row r="29" spans="1:12" ht="15" x14ac:dyDescent="0.25">
      <c r="A29" s="42" t="s">
        <v>959</v>
      </c>
      <c r="B29" s="49" t="s">
        <v>285</v>
      </c>
      <c r="C29" s="42" t="s">
        <v>296</v>
      </c>
      <c r="D29" s="75">
        <v>237359447</v>
      </c>
      <c r="E29" s="76">
        <v>9195882405</v>
      </c>
      <c r="F29" s="42" t="s">
        <v>256</v>
      </c>
      <c r="G29" s="84">
        <v>34301</v>
      </c>
      <c r="H29" s="108" t="str">
        <f>CHOOSE(MONTH(G29),"January","February","March","April","May","June","July","August","September","October","November","December")</f>
        <v>November</v>
      </c>
      <c r="I29" s="54">
        <f ca="1">DATEDIF(G29,TODAY(),"Y")</f>
        <v>22</v>
      </c>
      <c r="J29" s="55" t="s">
        <v>257</v>
      </c>
      <c r="K29" s="56">
        <v>73440</v>
      </c>
      <c r="L29" s="57">
        <v>1</v>
      </c>
    </row>
    <row r="30" spans="1:12" ht="15" x14ac:dyDescent="0.25">
      <c r="A30" s="42" t="s">
        <v>343</v>
      </c>
      <c r="B30" s="49" t="s">
        <v>271</v>
      </c>
      <c r="C30" s="42" t="s">
        <v>296</v>
      </c>
      <c r="D30" s="75">
        <v>216607562</v>
      </c>
      <c r="E30" s="76">
        <v>2521593705</v>
      </c>
      <c r="F30" s="42" t="s">
        <v>256</v>
      </c>
      <c r="G30" s="84">
        <v>35459</v>
      </c>
      <c r="H30" s="108" t="str">
        <f>CHOOSE(MONTH(G30),"January","February","March","April","May","June","July","August","September","October","November","December")</f>
        <v>January</v>
      </c>
      <c r="I30" s="54">
        <f ca="1">DATEDIF(G30,TODAY(),"Y")</f>
        <v>19</v>
      </c>
      <c r="J30" s="55" t="s">
        <v>283</v>
      </c>
      <c r="K30" s="56">
        <v>49360</v>
      </c>
      <c r="L30" s="57">
        <v>2</v>
      </c>
    </row>
    <row r="31" spans="1:12" ht="15" x14ac:dyDescent="0.25">
      <c r="A31" s="42" t="s">
        <v>843</v>
      </c>
      <c r="B31" s="49" t="s">
        <v>245</v>
      </c>
      <c r="C31" s="42" t="s">
        <v>296</v>
      </c>
      <c r="D31" s="75">
        <v>796079833</v>
      </c>
      <c r="E31" s="76">
        <v>2525327906</v>
      </c>
      <c r="F31" s="42" t="s">
        <v>261</v>
      </c>
      <c r="G31" s="84">
        <v>35564</v>
      </c>
      <c r="H31" s="108" t="str">
        <f>CHOOSE(MONTH(G31),"January","February","March","April","May","June","July","August","September","October","November","December")</f>
        <v>May</v>
      </c>
      <c r="I31" s="54">
        <f ca="1">DATEDIF(G31,TODAY(),"Y")</f>
        <v>19</v>
      </c>
      <c r="J31" s="55" t="s">
        <v>257</v>
      </c>
      <c r="K31" s="56">
        <v>11025</v>
      </c>
      <c r="L31" s="57">
        <v>1</v>
      </c>
    </row>
    <row r="32" spans="1:12" ht="15" x14ac:dyDescent="0.25">
      <c r="A32" s="42" t="s">
        <v>389</v>
      </c>
      <c r="B32" s="49" t="s">
        <v>245</v>
      </c>
      <c r="C32" s="42" t="s">
        <v>296</v>
      </c>
      <c r="D32" s="75">
        <v>515543972</v>
      </c>
      <c r="E32" s="76">
        <v>9193539483</v>
      </c>
      <c r="F32" s="42" t="s">
        <v>256</v>
      </c>
      <c r="G32" s="84">
        <v>36619</v>
      </c>
      <c r="H32" s="108" t="str">
        <f>CHOOSE(MONTH(G32),"January","February","March","April","May","June","July","August","September","October","November","December")</f>
        <v>April</v>
      </c>
      <c r="I32" s="54">
        <f ca="1">DATEDIF(G32,TODAY(),"Y")</f>
        <v>16</v>
      </c>
      <c r="J32" s="55" t="s">
        <v>267</v>
      </c>
      <c r="K32" s="56">
        <v>56440</v>
      </c>
      <c r="L32" s="57">
        <v>1</v>
      </c>
    </row>
    <row r="33" spans="1:12" ht="15" x14ac:dyDescent="0.25">
      <c r="A33" s="42" t="s">
        <v>858</v>
      </c>
      <c r="B33" s="49" t="s">
        <v>245</v>
      </c>
      <c r="C33" s="42" t="s">
        <v>296</v>
      </c>
      <c r="D33" s="75">
        <v>963028490</v>
      </c>
      <c r="E33" s="76">
        <v>2524383168</v>
      </c>
      <c r="F33" s="42" t="s">
        <v>256</v>
      </c>
      <c r="G33" s="84">
        <v>33551</v>
      </c>
      <c r="H33" s="108" t="str">
        <f>CHOOSE(MONTH(G33),"January","February","March","April","May","June","July","August","September","October","November","December")</f>
        <v>November</v>
      </c>
      <c r="I33" s="54">
        <f ca="1">DATEDIF(G33,TODAY(),"Y")</f>
        <v>25</v>
      </c>
      <c r="J33" s="55" t="s">
        <v>262</v>
      </c>
      <c r="K33" s="56">
        <v>41350</v>
      </c>
      <c r="L33" s="57">
        <v>2</v>
      </c>
    </row>
    <row r="34" spans="1:12" ht="15" x14ac:dyDescent="0.25">
      <c r="A34" s="42" t="s">
        <v>620</v>
      </c>
      <c r="B34" s="49" t="s">
        <v>285</v>
      </c>
      <c r="C34" s="42" t="s">
        <v>296</v>
      </c>
      <c r="D34" s="75">
        <v>533976888</v>
      </c>
      <c r="E34" s="76">
        <v>9192572783</v>
      </c>
      <c r="F34" s="42" t="s">
        <v>256</v>
      </c>
      <c r="G34" s="84">
        <v>36214</v>
      </c>
      <c r="H34" s="108" t="str">
        <f>CHOOSE(MONTH(G34),"January","February","March","April","May","June","July","August","September","October","November","December")</f>
        <v>February</v>
      </c>
      <c r="I34" s="54">
        <f ca="1">DATEDIF(G34,TODAY(),"Y")</f>
        <v>17</v>
      </c>
      <c r="J34" s="55" t="s">
        <v>276</v>
      </c>
      <c r="K34" s="56">
        <v>47850</v>
      </c>
      <c r="L34" s="57">
        <v>1</v>
      </c>
    </row>
    <row r="35" spans="1:12" ht="15" x14ac:dyDescent="0.25">
      <c r="A35" s="42" t="s">
        <v>972</v>
      </c>
      <c r="B35" s="49" t="s">
        <v>245</v>
      </c>
      <c r="C35" s="42" t="s">
        <v>296</v>
      </c>
      <c r="D35" s="75">
        <v>460412180</v>
      </c>
      <c r="E35" s="76">
        <v>9196822349</v>
      </c>
      <c r="F35" s="42" t="s">
        <v>256</v>
      </c>
      <c r="G35" s="84">
        <v>40106</v>
      </c>
      <c r="H35" s="108" t="str">
        <f>CHOOSE(MONTH(G35),"January","February","March","April","May","June","July","August","September","October","November","December")</f>
        <v>October</v>
      </c>
      <c r="I35" s="54">
        <f ca="1">DATEDIF(G35,TODAY(),"Y")</f>
        <v>7</v>
      </c>
      <c r="J35" s="55" t="s">
        <v>262</v>
      </c>
      <c r="K35" s="56">
        <v>51180</v>
      </c>
      <c r="L35" s="57">
        <v>3</v>
      </c>
    </row>
    <row r="36" spans="1:12" ht="15" x14ac:dyDescent="0.25">
      <c r="A36" s="42"/>
      <c r="B36" s="49"/>
      <c r="C36" s="114"/>
      <c r="D36" s="75"/>
      <c r="E36" s="76"/>
      <c r="F36" s="42"/>
      <c r="G36" s="84"/>
      <c r="H36" s="108"/>
      <c r="I36" s="54"/>
      <c r="J36" s="55"/>
      <c r="K36" s="56"/>
      <c r="L36" s="57"/>
    </row>
    <row r="37" spans="1:12" ht="15" x14ac:dyDescent="0.25">
      <c r="A37" s="42" t="s">
        <v>601</v>
      </c>
      <c r="B37" s="49" t="s">
        <v>285</v>
      </c>
      <c r="C37" s="42" t="s">
        <v>307</v>
      </c>
      <c r="D37" s="75">
        <v>534034571</v>
      </c>
      <c r="E37" s="76">
        <v>2526169135</v>
      </c>
      <c r="F37" s="42" t="s">
        <v>261</v>
      </c>
      <c r="G37" s="84">
        <v>39417</v>
      </c>
      <c r="H37" s="108" t="str">
        <f>CHOOSE(MONTH(G37),"January","February","March","April","May","June","July","August","September","October","November","December")</f>
        <v>December</v>
      </c>
      <c r="I37" s="54">
        <f ca="1">DATEDIF(G37,TODAY(),"Y")</f>
        <v>8</v>
      </c>
      <c r="J37" s="55" t="s">
        <v>267</v>
      </c>
      <c r="K37" s="56">
        <v>46095</v>
      </c>
      <c r="L37" s="57">
        <v>3</v>
      </c>
    </row>
    <row r="38" spans="1:12" ht="15" x14ac:dyDescent="0.25">
      <c r="A38" s="42" t="s">
        <v>1006</v>
      </c>
      <c r="B38" s="49" t="s">
        <v>271</v>
      </c>
      <c r="C38" s="42" t="s">
        <v>307</v>
      </c>
      <c r="D38" s="75">
        <v>601942708</v>
      </c>
      <c r="E38" s="76">
        <v>9198085402</v>
      </c>
      <c r="F38" s="42" t="s">
        <v>261</v>
      </c>
      <c r="G38" s="84">
        <v>40152</v>
      </c>
      <c r="H38" s="108" t="str">
        <f>CHOOSE(MONTH(G38),"January","February","March","April","May","June","July","August","September","October","November","December")</f>
        <v>December</v>
      </c>
      <c r="I38" s="54">
        <f ca="1">DATEDIF(G38,TODAY(),"Y")</f>
        <v>6</v>
      </c>
      <c r="J38" s="55" t="s">
        <v>283</v>
      </c>
      <c r="K38" s="56">
        <v>28680</v>
      </c>
      <c r="L38" s="57">
        <v>1</v>
      </c>
    </row>
    <row r="39" spans="1:12" ht="15" x14ac:dyDescent="0.25">
      <c r="A39" s="42" t="s">
        <v>850</v>
      </c>
      <c r="B39" s="49" t="s">
        <v>280</v>
      </c>
      <c r="C39" s="42" t="s">
        <v>307</v>
      </c>
      <c r="D39" s="75">
        <v>529609767</v>
      </c>
      <c r="E39" s="76">
        <v>2528006736</v>
      </c>
      <c r="F39" s="42" t="s">
        <v>247</v>
      </c>
      <c r="G39" s="84">
        <v>35395</v>
      </c>
      <c r="H39" s="108" t="str">
        <f>CHOOSE(MONTH(G39),"January","February","March","April","May","June","July","August","September","October","November","December")</f>
        <v>November</v>
      </c>
      <c r="I39" s="54">
        <f ca="1">DATEDIF(G39,TODAY(),"Y")</f>
        <v>19</v>
      </c>
      <c r="J39" s="55"/>
      <c r="K39" s="56">
        <v>58130</v>
      </c>
      <c r="L39" s="57">
        <v>2</v>
      </c>
    </row>
    <row r="40" spans="1:12" ht="15" x14ac:dyDescent="0.25">
      <c r="A40" s="42" t="s">
        <v>925</v>
      </c>
      <c r="B40" s="49" t="s">
        <v>285</v>
      </c>
      <c r="C40" s="42" t="s">
        <v>307</v>
      </c>
      <c r="D40" s="75">
        <v>682791418</v>
      </c>
      <c r="E40" s="76">
        <v>9194603155</v>
      </c>
      <c r="F40" s="42" t="s">
        <v>256</v>
      </c>
      <c r="G40" s="84">
        <v>33713</v>
      </c>
      <c r="H40" s="108" t="str">
        <f>CHOOSE(MONTH(G40),"January","February","March","April","May","June","July","August","September","October","November","December")</f>
        <v>April</v>
      </c>
      <c r="I40" s="54">
        <f ca="1">DATEDIF(G40,TODAY(),"Y")</f>
        <v>24</v>
      </c>
      <c r="J40" s="55" t="s">
        <v>257</v>
      </c>
      <c r="K40" s="56">
        <v>46220</v>
      </c>
      <c r="L40" s="57">
        <v>3</v>
      </c>
    </row>
    <row r="41" spans="1:12" ht="15" x14ac:dyDescent="0.25">
      <c r="A41" s="42"/>
      <c r="B41" s="49"/>
      <c r="C41" s="114"/>
      <c r="D41" s="75"/>
      <c r="E41" s="76"/>
      <c r="F41" s="42"/>
      <c r="G41" s="84"/>
      <c r="H41" s="108"/>
      <c r="I41" s="54"/>
      <c r="J41" s="55"/>
      <c r="K41" s="56"/>
      <c r="L41" s="57"/>
    </row>
    <row r="42" spans="1:12" ht="15" x14ac:dyDescent="0.25">
      <c r="A42" s="42" t="s">
        <v>797</v>
      </c>
      <c r="B42" s="49" t="s">
        <v>285</v>
      </c>
      <c r="C42" s="42" t="s">
        <v>312</v>
      </c>
      <c r="D42" s="75">
        <v>427811310</v>
      </c>
      <c r="E42" s="76">
        <v>9191362796</v>
      </c>
      <c r="F42" s="42" t="s">
        <v>247</v>
      </c>
      <c r="G42" s="84">
        <v>38907</v>
      </c>
      <c r="H42" s="108" t="str">
        <f>CHOOSE(MONTH(G42),"January","February","March","April","May","June","July","August","September","October","November","December")</f>
        <v>July</v>
      </c>
      <c r="I42" s="54">
        <f ca="1">DATEDIF(G42,TODAY(),"Y")</f>
        <v>10</v>
      </c>
      <c r="J42" s="55"/>
      <c r="K42" s="56">
        <v>89310</v>
      </c>
      <c r="L42" s="57">
        <v>5</v>
      </c>
    </row>
    <row r="43" spans="1:12" ht="15" x14ac:dyDescent="0.25">
      <c r="A43" s="42" t="s">
        <v>939</v>
      </c>
      <c r="B43" s="49" t="s">
        <v>266</v>
      </c>
      <c r="C43" s="42" t="s">
        <v>312</v>
      </c>
      <c r="D43" s="75">
        <v>267218084</v>
      </c>
      <c r="E43" s="76">
        <v>9193825834</v>
      </c>
      <c r="F43" s="42" t="s">
        <v>247</v>
      </c>
      <c r="G43" s="84">
        <v>35940</v>
      </c>
      <c r="H43" s="108" t="str">
        <f>CHOOSE(MONTH(G43),"January","February","March","April","May","June","July","August","September","October","November","December")</f>
        <v>May</v>
      </c>
      <c r="I43" s="54">
        <f ca="1">DATEDIF(G43,TODAY(),"Y")</f>
        <v>18</v>
      </c>
      <c r="J43" s="55"/>
      <c r="K43" s="56">
        <v>88000</v>
      </c>
      <c r="L43" s="57">
        <v>5</v>
      </c>
    </row>
    <row r="44" spans="1:12" ht="15" x14ac:dyDescent="0.25">
      <c r="A44" s="42" t="s">
        <v>999</v>
      </c>
      <c r="B44" s="49" t="s">
        <v>245</v>
      </c>
      <c r="C44" s="42" t="s">
        <v>312</v>
      </c>
      <c r="D44" s="75">
        <v>936730279</v>
      </c>
      <c r="E44" s="76">
        <v>2528033253</v>
      </c>
      <c r="F44" s="42" t="s">
        <v>261</v>
      </c>
      <c r="G44" s="84">
        <v>35517</v>
      </c>
      <c r="H44" s="108" t="str">
        <f>CHOOSE(MONTH(G44),"January","February","March","April","May","June","July","August","September","October","November","December")</f>
        <v>March</v>
      </c>
      <c r="I44" s="54">
        <f ca="1">DATEDIF(G44,TODAY(),"Y")</f>
        <v>19</v>
      </c>
      <c r="J44" s="55" t="s">
        <v>267</v>
      </c>
      <c r="K44" s="56">
        <v>48415</v>
      </c>
      <c r="L44" s="57">
        <v>4</v>
      </c>
    </row>
    <row r="45" spans="1:12" ht="15" x14ac:dyDescent="0.25">
      <c r="A45" s="42" t="s">
        <v>844</v>
      </c>
      <c r="B45" s="49" t="s">
        <v>285</v>
      </c>
      <c r="C45" s="42" t="s">
        <v>312</v>
      </c>
      <c r="D45" s="75">
        <v>252276921</v>
      </c>
      <c r="E45" s="76">
        <v>2525777345</v>
      </c>
      <c r="F45" s="42" t="s">
        <v>256</v>
      </c>
      <c r="G45" s="84">
        <v>37785</v>
      </c>
      <c r="H45" s="108" t="str">
        <f>CHOOSE(MONTH(G45),"January","February","March","April","May","June","July","August","September","October","November","December")</f>
        <v>June</v>
      </c>
      <c r="I45" s="54">
        <f ca="1">DATEDIF(G45,TODAY(),"Y")</f>
        <v>13</v>
      </c>
      <c r="J45" s="55" t="s">
        <v>283</v>
      </c>
      <c r="K45" s="56">
        <v>87280</v>
      </c>
      <c r="L45" s="57">
        <v>4</v>
      </c>
    </row>
    <row r="46" spans="1:12" ht="15" x14ac:dyDescent="0.25">
      <c r="A46" s="42" t="s">
        <v>522</v>
      </c>
      <c r="B46" s="49" t="s">
        <v>285</v>
      </c>
      <c r="C46" s="42" t="s">
        <v>312</v>
      </c>
      <c r="D46" s="75">
        <v>870106287</v>
      </c>
      <c r="E46" s="76">
        <v>2528611970</v>
      </c>
      <c r="F46" s="42" t="s">
        <v>261</v>
      </c>
      <c r="G46" s="84">
        <v>34548</v>
      </c>
      <c r="H46" s="108" t="str">
        <f>CHOOSE(MONTH(G46),"January","February","March","April","May","June","July","August","September","October","November","December")</f>
        <v>August</v>
      </c>
      <c r="I46" s="54">
        <f ca="1">DATEDIF(G46,TODAY(),"Y")</f>
        <v>22</v>
      </c>
      <c r="J46" s="55" t="s">
        <v>276</v>
      </c>
      <c r="K46" s="56">
        <v>38920</v>
      </c>
      <c r="L46" s="57">
        <v>4</v>
      </c>
    </row>
    <row r="47" spans="1:12" ht="15" x14ac:dyDescent="0.25">
      <c r="A47" s="42" t="s">
        <v>870</v>
      </c>
      <c r="B47" s="49" t="s">
        <v>271</v>
      </c>
      <c r="C47" s="42" t="s">
        <v>312</v>
      </c>
      <c r="D47" s="75">
        <v>631405285</v>
      </c>
      <c r="E47" s="76">
        <v>2527491979</v>
      </c>
      <c r="F47" s="42" t="s">
        <v>256</v>
      </c>
      <c r="G47" s="84">
        <v>33527</v>
      </c>
      <c r="H47" s="108" t="str">
        <f>CHOOSE(MONTH(G47),"January","February","March","April","May","June","July","August","September","October","November","December")</f>
        <v>October</v>
      </c>
      <c r="I47" s="54">
        <f ca="1">DATEDIF(G47,TODAY(),"Y")</f>
        <v>25</v>
      </c>
      <c r="J47" s="55" t="s">
        <v>283</v>
      </c>
      <c r="K47" s="56">
        <v>85920</v>
      </c>
      <c r="L47" s="57">
        <v>4</v>
      </c>
    </row>
    <row r="48" spans="1:12" ht="15" x14ac:dyDescent="0.25">
      <c r="A48" s="42" t="s">
        <v>796</v>
      </c>
      <c r="B48" s="49" t="s">
        <v>285</v>
      </c>
      <c r="C48" s="42" t="s">
        <v>312</v>
      </c>
      <c r="D48" s="75">
        <v>333947685</v>
      </c>
      <c r="E48" s="76">
        <v>9198314799</v>
      </c>
      <c r="F48" s="42" t="s">
        <v>256</v>
      </c>
      <c r="G48" s="84">
        <v>37348</v>
      </c>
      <c r="H48" s="108" t="str">
        <f>CHOOSE(MONTH(G48),"January","February","March","April","May","June","July","August","September","October","November","December")</f>
        <v>April</v>
      </c>
      <c r="I48" s="54">
        <f ca="1">DATEDIF(G48,TODAY(),"Y")</f>
        <v>14</v>
      </c>
      <c r="J48" s="55" t="s">
        <v>262</v>
      </c>
      <c r="K48" s="56">
        <v>85880</v>
      </c>
      <c r="L48" s="57">
        <v>3</v>
      </c>
    </row>
    <row r="49" spans="1:12" ht="15" x14ac:dyDescent="0.25">
      <c r="A49" s="42" t="s">
        <v>993</v>
      </c>
      <c r="B49" s="49" t="s">
        <v>271</v>
      </c>
      <c r="C49" s="42" t="s">
        <v>312</v>
      </c>
      <c r="D49" s="75">
        <v>981106829</v>
      </c>
      <c r="E49" s="76">
        <v>2526196095</v>
      </c>
      <c r="F49" s="42" t="s">
        <v>247</v>
      </c>
      <c r="G49" s="84">
        <v>35848</v>
      </c>
      <c r="H49" s="108" t="str">
        <f>CHOOSE(MONTH(G49),"January","February","March","April","May","June","July","August","September","October","November","December")</f>
        <v>February</v>
      </c>
      <c r="I49" s="54">
        <f ca="1">DATEDIF(G49,TODAY(),"Y")</f>
        <v>18</v>
      </c>
      <c r="J49" s="55"/>
      <c r="K49" s="56">
        <v>85480</v>
      </c>
      <c r="L49" s="57">
        <v>5</v>
      </c>
    </row>
    <row r="50" spans="1:12" ht="15" x14ac:dyDescent="0.25">
      <c r="A50" s="42" t="s">
        <v>496</v>
      </c>
      <c r="B50" s="49" t="s">
        <v>285</v>
      </c>
      <c r="C50" s="42" t="s">
        <v>312</v>
      </c>
      <c r="D50" s="75">
        <v>164904130</v>
      </c>
      <c r="E50" s="76">
        <v>2528046670</v>
      </c>
      <c r="F50" s="42" t="s">
        <v>247</v>
      </c>
      <c r="G50" s="84">
        <v>35569</v>
      </c>
      <c r="H50" s="108" t="str">
        <f>CHOOSE(MONTH(G50),"January","February","March","April","May","June","July","August","September","October","November","December")</f>
        <v>May</v>
      </c>
      <c r="I50" s="54">
        <f ca="1">DATEDIF(G50,TODAY(),"Y")</f>
        <v>19</v>
      </c>
      <c r="J50" s="55"/>
      <c r="K50" s="56">
        <v>84200</v>
      </c>
      <c r="L50" s="57">
        <v>2</v>
      </c>
    </row>
    <row r="51" spans="1:12" ht="15" x14ac:dyDescent="0.25">
      <c r="A51" s="42" t="s">
        <v>734</v>
      </c>
      <c r="B51" s="49" t="s">
        <v>245</v>
      </c>
      <c r="C51" s="42" t="s">
        <v>312</v>
      </c>
      <c r="D51" s="75">
        <v>733413074</v>
      </c>
      <c r="E51" s="76">
        <v>9192224790</v>
      </c>
      <c r="F51" s="42" t="s">
        <v>247</v>
      </c>
      <c r="G51" s="84">
        <v>38970</v>
      </c>
      <c r="H51" s="108" t="str">
        <f>CHOOSE(MONTH(G51),"January","February","March","April","May","June","July","August","September","October","November","December")</f>
        <v>September</v>
      </c>
      <c r="I51" s="54">
        <f ca="1">DATEDIF(G51,TODAY(),"Y")</f>
        <v>10</v>
      </c>
      <c r="J51" s="55"/>
      <c r="K51" s="56">
        <v>83070</v>
      </c>
      <c r="L51" s="57">
        <v>3</v>
      </c>
    </row>
    <row r="52" spans="1:12" ht="15" x14ac:dyDescent="0.25">
      <c r="A52" s="42" t="s">
        <v>624</v>
      </c>
      <c r="B52" s="49" t="s">
        <v>245</v>
      </c>
      <c r="C52" s="42" t="s">
        <v>312</v>
      </c>
      <c r="D52" s="75">
        <v>648911225</v>
      </c>
      <c r="E52" s="76">
        <v>2525829090</v>
      </c>
      <c r="F52" s="42" t="s">
        <v>247</v>
      </c>
      <c r="G52" s="84">
        <v>33981</v>
      </c>
      <c r="H52" s="108" t="str">
        <f>CHOOSE(MONTH(G52),"January","February","March","April","May","June","July","August","September","October","November","December")</f>
        <v>January</v>
      </c>
      <c r="I52" s="54">
        <f ca="1">DATEDIF(G52,TODAY(),"Y")</f>
        <v>23</v>
      </c>
      <c r="J52" s="55"/>
      <c r="K52" s="56">
        <v>83020</v>
      </c>
      <c r="L52" s="57">
        <v>4</v>
      </c>
    </row>
    <row r="53" spans="1:12" ht="15" x14ac:dyDescent="0.25">
      <c r="A53" s="42" t="s">
        <v>471</v>
      </c>
      <c r="B53" s="49" t="s">
        <v>251</v>
      </c>
      <c r="C53" s="42" t="s">
        <v>312</v>
      </c>
      <c r="D53" s="75">
        <v>344090854</v>
      </c>
      <c r="E53" s="76">
        <v>2523542524</v>
      </c>
      <c r="F53" s="42" t="s">
        <v>256</v>
      </c>
      <c r="G53" s="84">
        <v>35197</v>
      </c>
      <c r="H53" s="108" t="str">
        <f>CHOOSE(MONTH(G53),"January","February","March","April","May","June","July","August","September","October","November","December")</f>
        <v>May</v>
      </c>
      <c r="I53" s="54">
        <f ca="1">DATEDIF(G53,TODAY(),"Y")</f>
        <v>20</v>
      </c>
      <c r="J53" s="55" t="s">
        <v>276</v>
      </c>
      <c r="K53" s="56">
        <v>82120</v>
      </c>
      <c r="L53" s="57">
        <v>5</v>
      </c>
    </row>
    <row r="54" spans="1:12" ht="15" x14ac:dyDescent="0.25">
      <c r="A54" s="42" t="s">
        <v>630</v>
      </c>
      <c r="B54" s="49" t="s">
        <v>271</v>
      </c>
      <c r="C54" s="42" t="s">
        <v>312</v>
      </c>
      <c r="D54" s="75">
        <v>148899089</v>
      </c>
      <c r="E54" s="76">
        <v>2524734960</v>
      </c>
      <c r="F54" s="42" t="s">
        <v>261</v>
      </c>
      <c r="G54" s="84">
        <v>34166</v>
      </c>
      <c r="H54" s="108" t="str">
        <f>CHOOSE(MONTH(G54),"January","February","March","April","May","June","July","August","September","October","November","December")</f>
        <v>July</v>
      </c>
      <c r="I54" s="54">
        <f ca="1">DATEDIF(G54,TODAY(),"Y")</f>
        <v>23</v>
      </c>
      <c r="J54" s="55" t="s">
        <v>257</v>
      </c>
      <c r="K54" s="56">
        <v>26890</v>
      </c>
      <c r="L54" s="57">
        <v>3</v>
      </c>
    </row>
    <row r="55" spans="1:12" ht="15" x14ac:dyDescent="0.25">
      <c r="A55" s="42" t="s">
        <v>577</v>
      </c>
      <c r="B55" s="49" t="s">
        <v>285</v>
      </c>
      <c r="C55" s="42" t="s">
        <v>312</v>
      </c>
      <c r="D55" s="75">
        <v>260815239</v>
      </c>
      <c r="E55" s="76">
        <v>2523040292</v>
      </c>
      <c r="F55" s="42" t="s">
        <v>252</v>
      </c>
      <c r="G55" s="84">
        <v>33620</v>
      </c>
      <c r="H55" s="108" t="str">
        <f>CHOOSE(MONTH(G55),"January","February","March","April","May","June","July","August","September","October","November","December")</f>
        <v>January</v>
      </c>
      <c r="I55" s="54">
        <f ca="1">DATEDIF(G55,TODAY(),"Y")</f>
        <v>24</v>
      </c>
      <c r="J55" s="55"/>
      <c r="K55" s="56">
        <v>14568</v>
      </c>
      <c r="L55" s="57">
        <v>3</v>
      </c>
    </row>
    <row r="56" spans="1:12" ht="15" x14ac:dyDescent="0.25">
      <c r="A56" s="42" t="s">
        <v>941</v>
      </c>
      <c r="B56" s="49" t="s">
        <v>285</v>
      </c>
      <c r="C56" s="42" t="s">
        <v>312</v>
      </c>
      <c r="D56" s="75">
        <v>653843221</v>
      </c>
      <c r="E56" s="76">
        <v>9197713771</v>
      </c>
      <c r="F56" s="42" t="s">
        <v>247</v>
      </c>
      <c r="G56" s="84">
        <v>39959</v>
      </c>
      <c r="H56" s="108" t="str">
        <f>CHOOSE(MONTH(G56),"January","February","March","April","May","June","July","August","September","October","November","December")</f>
        <v>May</v>
      </c>
      <c r="I56" s="54">
        <f ca="1">DATEDIF(G56,TODAY(),"Y")</f>
        <v>7</v>
      </c>
      <c r="J56" s="55"/>
      <c r="K56" s="56">
        <v>79460</v>
      </c>
      <c r="L56" s="57">
        <v>5</v>
      </c>
    </row>
    <row r="57" spans="1:12" ht="15" x14ac:dyDescent="0.25">
      <c r="A57" s="42" t="s">
        <v>866</v>
      </c>
      <c r="B57" s="49" t="s">
        <v>245</v>
      </c>
      <c r="C57" s="42" t="s">
        <v>312</v>
      </c>
      <c r="D57" s="75">
        <v>787156286</v>
      </c>
      <c r="E57" s="76">
        <v>2524588703</v>
      </c>
      <c r="F57" s="42" t="s">
        <v>256</v>
      </c>
      <c r="G57" s="84">
        <v>33348</v>
      </c>
      <c r="H57" s="108" t="str">
        <f>CHOOSE(MONTH(G57),"January","February","March","April","May","June","July","August","September","October","November","December")</f>
        <v>April</v>
      </c>
      <c r="I57" s="54">
        <f ca="1">DATEDIF(G57,TODAY(),"Y")</f>
        <v>25</v>
      </c>
      <c r="J57" s="55" t="s">
        <v>276</v>
      </c>
      <c r="K57" s="56">
        <v>49810</v>
      </c>
      <c r="L57" s="57">
        <v>2</v>
      </c>
    </row>
    <row r="58" spans="1:12" ht="15" x14ac:dyDescent="0.25">
      <c r="A58" s="42" t="s">
        <v>800</v>
      </c>
      <c r="B58" s="49" t="s">
        <v>245</v>
      </c>
      <c r="C58" s="42" t="s">
        <v>312</v>
      </c>
      <c r="D58" s="75">
        <v>415228597</v>
      </c>
      <c r="E58" s="76">
        <v>9196252690</v>
      </c>
      <c r="F58" s="42" t="s">
        <v>256</v>
      </c>
      <c r="G58" s="84">
        <v>35667</v>
      </c>
      <c r="H58" s="108" t="str">
        <f>CHOOSE(MONTH(G58),"January","February","March","April","May","June","July","August","September","October","November","December")</f>
        <v>August</v>
      </c>
      <c r="I58" s="54">
        <f ca="1">DATEDIF(G58,TODAY(),"Y")</f>
        <v>19</v>
      </c>
      <c r="J58" s="55" t="s">
        <v>257</v>
      </c>
      <c r="K58" s="56">
        <v>40920</v>
      </c>
      <c r="L58" s="57">
        <v>4</v>
      </c>
    </row>
    <row r="59" spans="1:12" ht="15" x14ac:dyDescent="0.25">
      <c r="A59" s="42" t="s">
        <v>893</v>
      </c>
      <c r="B59" s="49" t="s">
        <v>285</v>
      </c>
      <c r="C59" s="42" t="s">
        <v>312</v>
      </c>
      <c r="D59" s="75">
        <v>411058865</v>
      </c>
      <c r="E59" s="76">
        <v>2523883919</v>
      </c>
      <c r="F59" s="42" t="s">
        <v>256</v>
      </c>
      <c r="G59" s="84">
        <v>37008</v>
      </c>
      <c r="H59" s="108" t="str">
        <f>CHOOSE(MONTH(G59),"January","February","March","April","May","June","July","August","September","October","November","December")</f>
        <v>April</v>
      </c>
      <c r="I59" s="54">
        <f ca="1">DATEDIF(G59,TODAY(),"Y")</f>
        <v>15</v>
      </c>
      <c r="J59" s="55" t="s">
        <v>257</v>
      </c>
      <c r="K59" s="56">
        <v>27180</v>
      </c>
      <c r="L59" s="57">
        <v>4</v>
      </c>
    </row>
    <row r="60" spans="1:12" ht="15" x14ac:dyDescent="0.25">
      <c r="A60" s="42" t="s">
        <v>910</v>
      </c>
      <c r="B60" s="49" t="s">
        <v>285</v>
      </c>
      <c r="C60" s="42" t="s">
        <v>312</v>
      </c>
      <c r="D60" s="75">
        <v>334574480</v>
      </c>
      <c r="E60" s="76">
        <v>2525165289</v>
      </c>
      <c r="F60" s="42" t="s">
        <v>256</v>
      </c>
      <c r="G60" s="84">
        <v>36506</v>
      </c>
      <c r="H60" s="108" t="str">
        <f>CHOOSE(MONTH(G60),"January","February","March","April","May","June","July","August","September","October","November","December")</f>
        <v>December</v>
      </c>
      <c r="I60" s="54">
        <f ca="1">DATEDIF(G60,TODAY(),"Y")</f>
        <v>16</v>
      </c>
      <c r="J60" s="55" t="s">
        <v>283</v>
      </c>
      <c r="K60" s="56">
        <v>32100</v>
      </c>
      <c r="L60" s="57">
        <v>1</v>
      </c>
    </row>
    <row r="61" spans="1:12" ht="15" x14ac:dyDescent="0.25">
      <c r="A61" s="42" t="s">
        <v>692</v>
      </c>
      <c r="B61" s="49" t="s">
        <v>271</v>
      </c>
      <c r="C61" s="42" t="s">
        <v>312</v>
      </c>
      <c r="D61" s="75">
        <v>873100939</v>
      </c>
      <c r="E61" s="76">
        <v>9191259179</v>
      </c>
      <c r="F61" s="42" t="s">
        <v>256</v>
      </c>
      <c r="G61" s="84">
        <v>40085</v>
      </c>
      <c r="H61" s="108" t="str">
        <f>CHOOSE(MONTH(G61),"January","February","March","April","May","June","July","August","September","October","November","December")</f>
        <v>September</v>
      </c>
      <c r="I61" s="54">
        <f ca="1">DATEDIF(G61,TODAY(),"Y")</f>
        <v>7</v>
      </c>
      <c r="J61" s="55" t="s">
        <v>257</v>
      </c>
      <c r="K61" s="56">
        <v>41490</v>
      </c>
      <c r="L61" s="57">
        <v>5</v>
      </c>
    </row>
    <row r="62" spans="1:12" ht="15" x14ac:dyDescent="0.25">
      <c r="A62" s="42" t="s">
        <v>301</v>
      </c>
      <c r="B62" s="49" t="s">
        <v>271</v>
      </c>
      <c r="C62" s="42" t="s">
        <v>312</v>
      </c>
      <c r="D62" s="75">
        <v>242099349</v>
      </c>
      <c r="E62" s="76">
        <v>2526576057</v>
      </c>
      <c r="F62" s="42" t="s">
        <v>256</v>
      </c>
      <c r="G62" s="84">
        <v>40501</v>
      </c>
      <c r="H62" s="108" t="str">
        <f>CHOOSE(MONTH(G62),"January","February","March","April","May","June","July","August","September","October","November","December")</f>
        <v>November</v>
      </c>
      <c r="I62" s="54">
        <f ca="1">DATEDIF(G62,TODAY(),"Y")</f>
        <v>5</v>
      </c>
      <c r="J62" s="55" t="s">
        <v>267</v>
      </c>
      <c r="K62" s="56">
        <v>77820</v>
      </c>
      <c r="L62" s="57">
        <v>3</v>
      </c>
    </row>
    <row r="63" spans="1:12" ht="15" x14ac:dyDescent="0.25">
      <c r="A63" s="42" t="s">
        <v>562</v>
      </c>
      <c r="B63" s="49" t="s">
        <v>285</v>
      </c>
      <c r="C63" s="42" t="s">
        <v>312</v>
      </c>
      <c r="D63" s="75">
        <v>905675120</v>
      </c>
      <c r="E63" s="76">
        <v>9192526124</v>
      </c>
      <c r="F63" s="42" t="s">
        <v>256</v>
      </c>
      <c r="G63" s="84">
        <v>35207</v>
      </c>
      <c r="H63" s="108" t="str">
        <f>CHOOSE(MONTH(G63),"January","February","March","April","May","June","July","August","September","October","November","December")</f>
        <v>May</v>
      </c>
      <c r="I63" s="54">
        <f ca="1">DATEDIF(G63,TODAY(),"Y")</f>
        <v>20</v>
      </c>
      <c r="J63" s="55" t="s">
        <v>267</v>
      </c>
      <c r="K63" s="56">
        <v>77580</v>
      </c>
      <c r="L63" s="57">
        <v>3</v>
      </c>
    </row>
    <row r="64" spans="1:12" ht="15" x14ac:dyDescent="0.25">
      <c r="A64" s="42" t="s">
        <v>703</v>
      </c>
      <c r="B64" s="49" t="s">
        <v>271</v>
      </c>
      <c r="C64" s="42" t="s">
        <v>312</v>
      </c>
      <c r="D64" s="75">
        <v>923665952</v>
      </c>
      <c r="E64" s="76">
        <v>2525295649</v>
      </c>
      <c r="F64" s="42" t="s">
        <v>256</v>
      </c>
      <c r="G64" s="84">
        <v>35086</v>
      </c>
      <c r="H64" s="108" t="str">
        <f>CHOOSE(MONTH(G64),"January","February","March","April","May","June","July","August","September","October","November","December")</f>
        <v>January</v>
      </c>
      <c r="I64" s="54">
        <f ca="1">DATEDIF(G64,TODAY(),"Y")</f>
        <v>20</v>
      </c>
      <c r="J64" s="55" t="s">
        <v>267</v>
      </c>
      <c r="K64" s="56">
        <v>77350</v>
      </c>
      <c r="L64" s="57">
        <v>5</v>
      </c>
    </row>
    <row r="65" spans="1:12" ht="15" x14ac:dyDescent="0.25">
      <c r="A65" s="42" t="s">
        <v>599</v>
      </c>
      <c r="B65" s="49" t="s">
        <v>245</v>
      </c>
      <c r="C65" s="42" t="s">
        <v>312</v>
      </c>
      <c r="D65" s="75">
        <v>474999228</v>
      </c>
      <c r="E65" s="76">
        <v>9193848677</v>
      </c>
      <c r="F65" s="42" t="s">
        <v>247</v>
      </c>
      <c r="G65" s="84">
        <v>36087</v>
      </c>
      <c r="H65" s="108" t="str">
        <f>CHOOSE(MONTH(G65),"January","February","March","April","May","June","July","August","September","October","November","December")</f>
        <v>October</v>
      </c>
      <c r="I65" s="54">
        <f ca="1">DATEDIF(G65,TODAY(),"Y")</f>
        <v>18</v>
      </c>
      <c r="J65" s="55"/>
      <c r="K65" s="56">
        <v>76930</v>
      </c>
      <c r="L65" s="57">
        <v>1</v>
      </c>
    </row>
    <row r="66" spans="1:12" ht="15" x14ac:dyDescent="0.25">
      <c r="A66" s="42" t="s">
        <v>1008</v>
      </c>
      <c r="B66" s="49" t="s">
        <v>280</v>
      </c>
      <c r="C66" s="42" t="s">
        <v>312</v>
      </c>
      <c r="D66" s="75">
        <v>683222853</v>
      </c>
      <c r="E66" s="76">
        <v>9196224056</v>
      </c>
      <c r="F66" s="42" t="s">
        <v>247</v>
      </c>
      <c r="G66" s="84">
        <v>39922</v>
      </c>
      <c r="H66" s="108" t="str">
        <f>CHOOSE(MONTH(G66),"January","February","March","April","May","June","July","August","September","October","November","December")</f>
        <v>April</v>
      </c>
      <c r="I66" s="54">
        <f ca="1">DATEDIF(G66,TODAY(),"Y")</f>
        <v>7</v>
      </c>
      <c r="J66" s="55"/>
      <c r="K66" s="56">
        <v>25790</v>
      </c>
      <c r="L66" s="57">
        <v>3</v>
      </c>
    </row>
    <row r="67" spans="1:12" ht="15" x14ac:dyDescent="0.25">
      <c r="A67" s="42" t="s">
        <v>770</v>
      </c>
      <c r="B67" s="49" t="s">
        <v>271</v>
      </c>
      <c r="C67" s="42" t="s">
        <v>312</v>
      </c>
      <c r="D67" s="75">
        <v>627678686</v>
      </c>
      <c r="E67" s="76">
        <v>2526101454</v>
      </c>
      <c r="F67" s="42" t="s">
        <v>247</v>
      </c>
      <c r="G67" s="84">
        <v>35505</v>
      </c>
      <c r="H67" s="108" t="str">
        <f>CHOOSE(MONTH(G67),"January","February","March","April","May","June","July","August","September","October","November","December")</f>
        <v>March</v>
      </c>
      <c r="I67" s="54">
        <f ca="1">DATEDIF(G67,TODAY(),"Y")</f>
        <v>19</v>
      </c>
      <c r="J67" s="55"/>
      <c r="K67" s="56">
        <v>74740</v>
      </c>
      <c r="L67" s="57">
        <v>5</v>
      </c>
    </row>
    <row r="68" spans="1:12" ht="15" x14ac:dyDescent="0.25">
      <c r="A68" s="42" t="s">
        <v>861</v>
      </c>
      <c r="B68" s="49" t="s">
        <v>251</v>
      </c>
      <c r="C68" s="42" t="s">
        <v>312</v>
      </c>
      <c r="D68" s="75">
        <v>877122222</v>
      </c>
      <c r="E68" s="76">
        <v>9195511103</v>
      </c>
      <c r="F68" s="42" t="s">
        <v>256</v>
      </c>
      <c r="G68" s="84">
        <v>40575</v>
      </c>
      <c r="H68" s="108" t="str">
        <f>CHOOSE(MONTH(G68),"January","February","March","April","May","June","July","August","September","October","November","December")</f>
        <v>February</v>
      </c>
      <c r="I68" s="54">
        <f ca="1">DATEDIF(G68,TODAY(),"Y")</f>
        <v>5</v>
      </c>
      <c r="J68" s="55" t="s">
        <v>276</v>
      </c>
      <c r="K68" s="56">
        <v>74710</v>
      </c>
      <c r="L68" s="57">
        <v>2</v>
      </c>
    </row>
    <row r="69" spans="1:12" ht="15" x14ac:dyDescent="0.25">
      <c r="A69" s="42" t="s">
        <v>864</v>
      </c>
      <c r="B69" s="49" t="s">
        <v>285</v>
      </c>
      <c r="C69" s="42" t="s">
        <v>312</v>
      </c>
      <c r="D69" s="75">
        <v>496260023</v>
      </c>
      <c r="E69" s="76">
        <v>2523962015</v>
      </c>
      <c r="F69" s="42" t="s">
        <v>256</v>
      </c>
      <c r="G69" s="84">
        <v>34474</v>
      </c>
      <c r="H69" s="108" t="str">
        <f>CHOOSE(MONTH(G69),"January","February","March","April","May","June","July","August","September","October","November","December")</f>
        <v>May</v>
      </c>
      <c r="I69" s="54">
        <f ca="1">DATEDIF(G69,TODAY(),"Y")</f>
        <v>22</v>
      </c>
      <c r="J69" s="55" t="s">
        <v>262</v>
      </c>
      <c r="K69" s="56">
        <v>74670</v>
      </c>
      <c r="L69" s="57">
        <v>5</v>
      </c>
    </row>
    <row r="70" spans="1:12" ht="15" x14ac:dyDescent="0.25">
      <c r="A70" s="42" t="s">
        <v>651</v>
      </c>
      <c r="B70" s="49" t="s">
        <v>271</v>
      </c>
      <c r="C70" s="42" t="s">
        <v>312</v>
      </c>
      <c r="D70" s="75">
        <v>513140687</v>
      </c>
      <c r="E70" s="76">
        <v>9192163497</v>
      </c>
      <c r="F70" s="42" t="s">
        <v>247</v>
      </c>
      <c r="G70" s="84">
        <v>33228</v>
      </c>
      <c r="H70" s="108" t="str">
        <f>CHOOSE(MONTH(G70),"January","February","March","April","May","June","July","August","September","October","November","December")</f>
        <v>December</v>
      </c>
      <c r="I70" s="54">
        <f ca="1">DATEDIF(G70,TODAY(),"Y")</f>
        <v>25</v>
      </c>
      <c r="J70" s="55"/>
      <c r="K70" s="56">
        <v>42940</v>
      </c>
      <c r="L70" s="57">
        <v>1</v>
      </c>
    </row>
    <row r="71" spans="1:12" ht="15" x14ac:dyDescent="0.25">
      <c r="A71" s="48" t="s">
        <v>275</v>
      </c>
      <c r="B71" s="49" t="s">
        <v>280</v>
      </c>
      <c r="C71" s="42" t="s">
        <v>312</v>
      </c>
      <c r="D71" s="75">
        <v>163292583</v>
      </c>
      <c r="E71" s="76">
        <v>2522005810</v>
      </c>
      <c r="F71" s="42" t="s">
        <v>247</v>
      </c>
      <c r="G71" s="84">
        <v>36038</v>
      </c>
      <c r="H71" s="108" t="str">
        <f>CHOOSE(MONTH(G71),"January","February","March","April","May","June","July","August","September","October","November","December")</f>
        <v>August</v>
      </c>
      <c r="I71" s="54">
        <f ca="1">DATEDIF(G71,TODAY(),"Y")</f>
        <v>18</v>
      </c>
      <c r="J71" s="55"/>
      <c r="K71" s="56">
        <v>30340</v>
      </c>
      <c r="L71" s="57">
        <v>3</v>
      </c>
    </row>
    <row r="72" spans="1:12" ht="15" x14ac:dyDescent="0.25">
      <c r="A72" s="42" t="s">
        <v>877</v>
      </c>
      <c r="B72" s="49" t="s">
        <v>271</v>
      </c>
      <c r="C72" s="42" t="s">
        <v>312</v>
      </c>
      <c r="D72" s="75">
        <v>831188207</v>
      </c>
      <c r="E72" s="76">
        <v>9192121334</v>
      </c>
      <c r="F72" s="42" t="s">
        <v>256</v>
      </c>
      <c r="G72" s="84">
        <v>37241</v>
      </c>
      <c r="H72" s="108" t="str">
        <f>CHOOSE(MONTH(G72),"January","February","March","April","May","June","July","August","September","October","November","December")</f>
        <v>December</v>
      </c>
      <c r="I72" s="54">
        <f ca="1">DATEDIF(G72,TODAY(),"Y")</f>
        <v>14</v>
      </c>
      <c r="J72" s="55" t="s">
        <v>257</v>
      </c>
      <c r="K72" s="56">
        <v>71950</v>
      </c>
      <c r="L72" s="57">
        <v>5</v>
      </c>
    </row>
    <row r="73" spans="1:12" ht="15" x14ac:dyDescent="0.25">
      <c r="A73" s="42" t="s">
        <v>968</v>
      </c>
      <c r="B73" s="49" t="s">
        <v>266</v>
      </c>
      <c r="C73" s="42" t="s">
        <v>312</v>
      </c>
      <c r="D73" s="75">
        <v>867671341</v>
      </c>
      <c r="E73" s="76">
        <v>2528317543</v>
      </c>
      <c r="F73" s="42" t="s">
        <v>261</v>
      </c>
      <c r="G73" s="84">
        <v>36896</v>
      </c>
      <c r="H73" s="108" t="str">
        <f>CHOOSE(MONTH(G73),"January","February","March","April","May","June","July","August","September","October","November","December")</f>
        <v>January</v>
      </c>
      <c r="I73" s="54">
        <f ca="1">DATEDIF(G73,TODAY(),"Y")</f>
        <v>15</v>
      </c>
      <c r="J73" s="55" t="s">
        <v>257</v>
      </c>
      <c r="K73" s="56">
        <v>35280</v>
      </c>
      <c r="L73" s="57">
        <v>3</v>
      </c>
    </row>
    <row r="74" spans="1:12" ht="15" x14ac:dyDescent="0.25">
      <c r="A74" s="42" t="s">
        <v>647</v>
      </c>
      <c r="B74" s="49" t="s">
        <v>285</v>
      </c>
      <c r="C74" s="42" t="s">
        <v>312</v>
      </c>
      <c r="D74" s="75">
        <v>951516517</v>
      </c>
      <c r="E74" s="76">
        <v>2524936058</v>
      </c>
      <c r="F74" s="42" t="s">
        <v>256</v>
      </c>
      <c r="G74" s="84">
        <v>33895</v>
      </c>
      <c r="H74" s="108" t="str">
        <f>CHOOSE(MONTH(G74),"January","February","March","April","May","June","July","August","September","October","November","December")</f>
        <v>October</v>
      </c>
      <c r="I74" s="54">
        <f ca="1">DATEDIF(G74,TODAY(),"Y")</f>
        <v>24</v>
      </c>
      <c r="J74" s="55" t="s">
        <v>283</v>
      </c>
      <c r="K74" s="56">
        <v>71670</v>
      </c>
      <c r="L74" s="57">
        <v>4</v>
      </c>
    </row>
    <row r="75" spans="1:12" ht="15" x14ac:dyDescent="0.25">
      <c r="A75" s="42" t="s">
        <v>961</v>
      </c>
      <c r="B75" s="49" t="s">
        <v>245</v>
      </c>
      <c r="C75" s="42" t="s">
        <v>312</v>
      </c>
      <c r="D75" s="75">
        <v>721173550</v>
      </c>
      <c r="E75" s="76">
        <v>2528356334</v>
      </c>
      <c r="F75" s="42" t="s">
        <v>256</v>
      </c>
      <c r="G75" s="84">
        <v>33786</v>
      </c>
      <c r="H75" s="108" t="str">
        <f>CHOOSE(MONTH(G75),"January","February","March","April","May","June","July","August","September","October","November","December")</f>
        <v>July</v>
      </c>
      <c r="I75" s="54">
        <f ca="1">DATEDIF(G75,TODAY(),"Y")</f>
        <v>24</v>
      </c>
      <c r="J75" s="55" t="s">
        <v>257</v>
      </c>
      <c r="K75" s="56">
        <v>71150</v>
      </c>
      <c r="L75" s="57">
        <v>2</v>
      </c>
    </row>
    <row r="76" spans="1:12" ht="15" x14ac:dyDescent="0.25">
      <c r="A76" s="42" t="s">
        <v>340</v>
      </c>
      <c r="B76" s="49" t="s">
        <v>245</v>
      </c>
      <c r="C76" s="42" t="s">
        <v>312</v>
      </c>
      <c r="D76" s="75">
        <v>339398339</v>
      </c>
      <c r="E76" s="76">
        <v>2527682821</v>
      </c>
      <c r="F76" s="42" t="s">
        <v>256</v>
      </c>
      <c r="G76" s="84">
        <v>35965</v>
      </c>
      <c r="H76" s="108" t="str">
        <f>CHOOSE(MONTH(G76),"January","February","March","April","May","June","July","August","September","October","November","December")</f>
        <v>June</v>
      </c>
      <c r="I76" s="79">
        <f ca="1">DATEDIF(G76,TODAY(),"Y")</f>
        <v>18</v>
      </c>
      <c r="J76" s="80" t="s">
        <v>267</v>
      </c>
      <c r="K76" s="56">
        <v>34780</v>
      </c>
      <c r="L76" s="57">
        <v>4</v>
      </c>
    </row>
    <row r="77" spans="1:12" ht="15" x14ac:dyDescent="0.25">
      <c r="A77" s="42" t="s">
        <v>779</v>
      </c>
      <c r="B77" s="49" t="s">
        <v>285</v>
      </c>
      <c r="C77" s="42" t="s">
        <v>312</v>
      </c>
      <c r="D77" s="75">
        <v>129397083</v>
      </c>
      <c r="E77" s="76">
        <v>2521391475</v>
      </c>
      <c r="F77" s="42" t="s">
        <v>256</v>
      </c>
      <c r="G77" s="84">
        <v>40596</v>
      </c>
      <c r="H77" s="108" t="str">
        <f>CHOOSE(MONTH(G77),"January","February","March","April","May","June","July","August","September","October","November","December")</f>
        <v>February</v>
      </c>
      <c r="I77" s="54">
        <f ca="1">DATEDIF(G77,TODAY(),"Y")</f>
        <v>5</v>
      </c>
      <c r="J77" s="55" t="s">
        <v>267</v>
      </c>
      <c r="K77" s="56">
        <v>68910</v>
      </c>
      <c r="L77" s="57">
        <v>5</v>
      </c>
    </row>
    <row r="78" spans="1:12" ht="15" x14ac:dyDescent="0.25">
      <c r="A78" s="42" t="s">
        <v>887</v>
      </c>
      <c r="B78" s="49" t="s">
        <v>285</v>
      </c>
      <c r="C78" s="42" t="s">
        <v>312</v>
      </c>
      <c r="D78" s="75">
        <v>349979288</v>
      </c>
      <c r="E78" s="76">
        <v>9194629972</v>
      </c>
      <c r="F78" s="42" t="s">
        <v>256</v>
      </c>
      <c r="G78" s="84">
        <v>37018</v>
      </c>
      <c r="H78" s="108" t="str">
        <f>CHOOSE(MONTH(G78),"January","February","March","April","May","June","July","August","September","October","November","December")</f>
        <v>May</v>
      </c>
      <c r="I78" s="54">
        <f ca="1">DATEDIF(G78,TODAY(),"Y")</f>
        <v>15</v>
      </c>
      <c r="J78" s="55" t="s">
        <v>283</v>
      </c>
      <c r="K78" s="56">
        <v>28650</v>
      </c>
      <c r="L78" s="57">
        <v>4</v>
      </c>
    </row>
    <row r="79" spans="1:12" ht="15" x14ac:dyDescent="0.25">
      <c r="A79" s="42" t="s">
        <v>931</v>
      </c>
      <c r="B79" s="49" t="s">
        <v>266</v>
      </c>
      <c r="C79" s="42" t="s">
        <v>312</v>
      </c>
      <c r="D79" s="75">
        <v>964243524</v>
      </c>
      <c r="E79" s="76">
        <v>2522339143</v>
      </c>
      <c r="F79" s="42" t="s">
        <v>256</v>
      </c>
      <c r="G79" s="84">
        <v>34996</v>
      </c>
      <c r="H79" s="108" t="str">
        <f>CHOOSE(MONTH(G79),"January","February","March","April","May","June","July","August","September","October","November","December")</f>
        <v>October</v>
      </c>
      <c r="I79" s="54">
        <f ca="1">DATEDIF(G79,TODAY(),"Y")</f>
        <v>21</v>
      </c>
      <c r="J79" s="55" t="s">
        <v>257</v>
      </c>
      <c r="K79" s="56">
        <v>67890</v>
      </c>
      <c r="L79" s="57">
        <v>5</v>
      </c>
    </row>
    <row r="80" spans="1:12" ht="15" x14ac:dyDescent="0.25">
      <c r="A80" s="42" t="s">
        <v>811</v>
      </c>
      <c r="B80" s="49" t="s">
        <v>271</v>
      </c>
      <c r="C80" s="42" t="s">
        <v>312</v>
      </c>
      <c r="D80" s="75">
        <v>639314672</v>
      </c>
      <c r="E80" s="76">
        <v>9191919478</v>
      </c>
      <c r="F80" s="42" t="s">
        <v>261</v>
      </c>
      <c r="G80" s="84">
        <v>35842</v>
      </c>
      <c r="H80" s="108" t="str">
        <f>CHOOSE(MONTH(G80),"January","February","March","April","May","June","July","August","September","October","November","December")</f>
        <v>February</v>
      </c>
      <c r="I80" s="54">
        <f ca="1">DATEDIF(G80,TODAY(),"Y")</f>
        <v>18</v>
      </c>
      <c r="J80" s="55" t="s">
        <v>276</v>
      </c>
      <c r="K80" s="56">
        <v>23380</v>
      </c>
      <c r="L80" s="57">
        <v>4</v>
      </c>
    </row>
    <row r="81" spans="1:12" ht="15" x14ac:dyDescent="0.25">
      <c r="A81" s="42" t="s">
        <v>309</v>
      </c>
      <c r="B81" s="49" t="s">
        <v>285</v>
      </c>
      <c r="C81" s="42" t="s">
        <v>312</v>
      </c>
      <c r="D81" s="75">
        <v>856215418</v>
      </c>
      <c r="E81" s="76">
        <v>2526168483</v>
      </c>
      <c r="F81" s="42" t="s">
        <v>252</v>
      </c>
      <c r="G81" s="84">
        <v>36602</v>
      </c>
      <c r="H81" s="108" t="str">
        <f>CHOOSE(MONTH(G81),"January","February","March","April","May","June","July","August","September","October","November","December")</f>
        <v>March</v>
      </c>
      <c r="I81" s="54">
        <f ca="1">DATEDIF(G81,TODAY(),"Y")</f>
        <v>16</v>
      </c>
      <c r="J81" s="55"/>
      <c r="K81" s="56">
        <v>30080</v>
      </c>
      <c r="L81" s="57">
        <v>3</v>
      </c>
    </row>
    <row r="82" spans="1:12" ht="15" x14ac:dyDescent="0.25">
      <c r="A82" s="42" t="s">
        <v>613</v>
      </c>
      <c r="B82" s="49" t="s">
        <v>245</v>
      </c>
      <c r="C82" s="42" t="s">
        <v>312</v>
      </c>
      <c r="D82" s="75">
        <v>365117800</v>
      </c>
      <c r="E82" s="76">
        <v>2524125146</v>
      </c>
      <c r="F82" s="42" t="s">
        <v>256</v>
      </c>
      <c r="G82" s="84">
        <v>37960</v>
      </c>
      <c r="H82" s="108" t="str">
        <f>CHOOSE(MONTH(G82),"January","February","March","April","May","June","July","August","September","October","November","December")</f>
        <v>December</v>
      </c>
      <c r="I82" s="54">
        <f ca="1">DATEDIF(G82,TODAY(),"Y")</f>
        <v>12</v>
      </c>
      <c r="J82" s="55" t="s">
        <v>257</v>
      </c>
      <c r="K82" s="56">
        <v>66890</v>
      </c>
      <c r="L82" s="57">
        <v>5</v>
      </c>
    </row>
    <row r="83" spans="1:12" ht="15" x14ac:dyDescent="0.25">
      <c r="A83" s="42" t="s">
        <v>963</v>
      </c>
      <c r="B83" s="49" t="s">
        <v>251</v>
      </c>
      <c r="C83" s="42" t="s">
        <v>312</v>
      </c>
      <c r="D83" s="75">
        <v>403504590</v>
      </c>
      <c r="E83" s="76">
        <v>9192400511</v>
      </c>
      <c r="F83" s="42" t="s">
        <v>247</v>
      </c>
      <c r="G83" s="84">
        <v>33678</v>
      </c>
      <c r="H83" s="108" t="str">
        <f>CHOOSE(MONTH(G83),"January","February","March","April","May","June","July","August","September","October","November","December")</f>
        <v>March</v>
      </c>
      <c r="I83" s="54">
        <f ca="1">DATEDIF(G83,TODAY(),"Y")</f>
        <v>24</v>
      </c>
      <c r="J83" s="55"/>
      <c r="K83" s="56">
        <v>64460</v>
      </c>
      <c r="L83" s="57">
        <v>1</v>
      </c>
    </row>
    <row r="84" spans="1:12" ht="15" x14ac:dyDescent="0.25">
      <c r="A84" s="42" t="s">
        <v>290</v>
      </c>
      <c r="B84" s="49" t="s">
        <v>280</v>
      </c>
      <c r="C84" s="42" t="s">
        <v>312</v>
      </c>
      <c r="D84" s="75">
        <v>247276092</v>
      </c>
      <c r="E84" s="76">
        <v>2522636516</v>
      </c>
      <c r="F84" s="42" t="s">
        <v>247</v>
      </c>
      <c r="G84" s="84">
        <v>35119</v>
      </c>
      <c r="H84" s="108" t="str">
        <f>CHOOSE(MONTH(G84),"January","February","March","April","May","June","July","August","September","October","November","December")</f>
        <v>February</v>
      </c>
      <c r="I84" s="54">
        <f ca="1">DATEDIF(G84,TODAY(),"Y")</f>
        <v>20</v>
      </c>
      <c r="J84" s="55"/>
      <c r="K84" s="56">
        <v>64390</v>
      </c>
      <c r="L84" s="57">
        <v>2</v>
      </c>
    </row>
    <row r="85" spans="1:12" ht="15" x14ac:dyDescent="0.25">
      <c r="A85" s="42" t="s">
        <v>329</v>
      </c>
      <c r="B85" s="49" t="s">
        <v>245</v>
      </c>
      <c r="C85" s="42" t="s">
        <v>312</v>
      </c>
      <c r="D85" s="75">
        <v>393393249</v>
      </c>
      <c r="E85" s="76">
        <v>9194980674</v>
      </c>
      <c r="F85" s="42" t="s">
        <v>247</v>
      </c>
      <c r="G85" s="84">
        <v>36470</v>
      </c>
      <c r="H85" s="108" t="str">
        <f>CHOOSE(MONTH(G85),"January","February","March","April","May","June","July","August","September","October","November","December")</f>
        <v>November</v>
      </c>
      <c r="I85" s="54">
        <f ca="1">DATEDIF(G85,TODAY(),"Y")</f>
        <v>17</v>
      </c>
      <c r="J85" s="55"/>
      <c r="K85" s="56">
        <v>23560</v>
      </c>
      <c r="L85" s="57">
        <v>3</v>
      </c>
    </row>
    <row r="86" spans="1:12" ht="15" x14ac:dyDescent="0.25">
      <c r="A86" s="42" t="s">
        <v>1023</v>
      </c>
      <c r="B86" s="49" t="s">
        <v>245</v>
      </c>
      <c r="C86" s="42" t="s">
        <v>312</v>
      </c>
      <c r="D86" s="75">
        <v>822974734</v>
      </c>
      <c r="E86" s="76">
        <v>2524924736</v>
      </c>
      <c r="F86" s="42" t="s">
        <v>252</v>
      </c>
      <c r="G86" s="84">
        <v>36487</v>
      </c>
      <c r="H86" s="108" t="str">
        <f>CHOOSE(MONTH(G86),"January","February","March","April","May","June","July","August","September","October","November","December")</f>
        <v>November</v>
      </c>
      <c r="I86" s="54">
        <f ca="1">DATEDIF(G86,TODAY(),"Y")</f>
        <v>16</v>
      </c>
      <c r="J86" s="55"/>
      <c r="K86" s="56">
        <v>33056</v>
      </c>
      <c r="L86" s="57">
        <v>5</v>
      </c>
    </row>
    <row r="87" spans="1:12" ht="15" x14ac:dyDescent="0.25">
      <c r="A87" s="42" t="s">
        <v>636</v>
      </c>
      <c r="B87" s="49" t="s">
        <v>285</v>
      </c>
      <c r="C87" s="42" t="s">
        <v>312</v>
      </c>
      <c r="D87" s="75">
        <v>667812117</v>
      </c>
      <c r="E87" s="76">
        <v>2526396432</v>
      </c>
      <c r="F87" s="42" t="s">
        <v>256</v>
      </c>
      <c r="G87" s="84">
        <v>33746</v>
      </c>
      <c r="H87" s="108" t="str">
        <f>CHOOSE(MONTH(G87),"January","February","March","April","May","June","July","August","September","October","November","December")</f>
        <v>May</v>
      </c>
      <c r="I87" s="54">
        <f ca="1">DATEDIF(G87,TODAY(),"Y")</f>
        <v>24</v>
      </c>
      <c r="J87" s="55" t="s">
        <v>262</v>
      </c>
      <c r="K87" s="56">
        <v>31830</v>
      </c>
      <c r="L87" s="57">
        <v>3</v>
      </c>
    </row>
    <row r="88" spans="1:12" ht="15" x14ac:dyDescent="0.25">
      <c r="A88" s="42" t="s">
        <v>404</v>
      </c>
      <c r="B88" s="49" t="s">
        <v>271</v>
      </c>
      <c r="C88" s="42" t="s">
        <v>312</v>
      </c>
      <c r="D88" s="75">
        <v>504735443</v>
      </c>
      <c r="E88" s="76">
        <v>9191629556</v>
      </c>
      <c r="F88" s="42" t="s">
        <v>247</v>
      </c>
      <c r="G88" s="84">
        <v>35902</v>
      </c>
      <c r="H88" s="108" t="str">
        <f>CHOOSE(MONTH(G88),"January","February","March","April","May","June","July","August","September","October","November","December")</f>
        <v>April</v>
      </c>
      <c r="I88" s="54">
        <f ca="1">DATEDIF(G88,TODAY(),"Y")</f>
        <v>18</v>
      </c>
      <c r="J88" s="55"/>
      <c r="K88" s="56">
        <v>63340</v>
      </c>
      <c r="L88" s="57">
        <v>3</v>
      </c>
    </row>
    <row r="89" spans="1:12" ht="15" x14ac:dyDescent="0.25">
      <c r="A89" s="42" t="s">
        <v>682</v>
      </c>
      <c r="B89" s="49" t="s">
        <v>271</v>
      </c>
      <c r="C89" s="42" t="s">
        <v>312</v>
      </c>
      <c r="D89" s="75">
        <v>436693732</v>
      </c>
      <c r="E89" s="76">
        <v>2524077699</v>
      </c>
      <c r="F89" s="42" t="s">
        <v>256</v>
      </c>
      <c r="G89" s="84">
        <v>37176</v>
      </c>
      <c r="H89" s="108" t="str">
        <f>CHOOSE(MONTH(G89),"January","February","March","April","May","June","July","August","September","October","November","December")</f>
        <v>October</v>
      </c>
      <c r="I89" s="54">
        <f ca="1">DATEDIF(G89,TODAY(),"Y")</f>
        <v>15</v>
      </c>
      <c r="J89" s="55" t="s">
        <v>267</v>
      </c>
      <c r="K89" s="56">
        <v>62790</v>
      </c>
      <c r="L89" s="57">
        <v>2</v>
      </c>
    </row>
    <row r="90" spans="1:12" ht="15" x14ac:dyDescent="0.25">
      <c r="A90" s="42" t="s">
        <v>371</v>
      </c>
      <c r="B90" s="49" t="s">
        <v>245</v>
      </c>
      <c r="C90" s="42" t="s">
        <v>312</v>
      </c>
      <c r="D90" s="75">
        <v>580960042</v>
      </c>
      <c r="E90" s="76">
        <v>9197528456</v>
      </c>
      <c r="F90" s="42" t="s">
        <v>247</v>
      </c>
      <c r="G90" s="84">
        <v>39040</v>
      </c>
      <c r="H90" s="108" t="str">
        <f>CHOOSE(MONTH(G90),"January","February","March","April","May","June","July","August","September","October","November","December")</f>
        <v>November</v>
      </c>
      <c r="I90" s="54">
        <f ca="1">DATEDIF(G90,TODAY(),"Y")</f>
        <v>9</v>
      </c>
      <c r="J90" s="55"/>
      <c r="K90" s="56">
        <v>62150</v>
      </c>
      <c r="L90" s="57">
        <v>4</v>
      </c>
    </row>
    <row r="91" spans="1:12" ht="15" x14ac:dyDescent="0.25">
      <c r="A91" s="42" t="s">
        <v>611</v>
      </c>
      <c r="B91" s="49" t="s">
        <v>271</v>
      </c>
      <c r="C91" s="42" t="s">
        <v>312</v>
      </c>
      <c r="D91" s="75">
        <v>721169660</v>
      </c>
      <c r="E91" s="76">
        <v>2526711140</v>
      </c>
      <c r="F91" s="42" t="s">
        <v>256</v>
      </c>
      <c r="G91" s="84">
        <v>40274</v>
      </c>
      <c r="H91" s="108" t="str">
        <f>CHOOSE(MONTH(G91),"January","February","March","April","May","June","July","August","September","October","November","December")</f>
        <v>April</v>
      </c>
      <c r="I91" s="54">
        <f ca="1">DATEDIF(G91,TODAY(),"Y")</f>
        <v>6</v>
      </c>
      <c r="J91" s="55" t="s">
        <v>262</v>
      </c>
      <c r="K91" s="56">
        <v>38730</v>
      </c>
      <c r="L91" s="57">
        <v>1</v>
      </c>
    </row>
    <row r="92" spans="1:12" ht="15" x14ac:dyDescent="0.25">
      <c r="A92" s="42" t="s">
        <v>589</v>
      </c>
      <c r="B92" s="49" t="s">
        <v>271</v>
      </c>
      <c r="C92" s="42" t="s">
        <v>312</v>
      </c>
      <c r="D92" s="75">
        <v>459522265</v>
      </c>
      <c r="E92" s="76">
        <v>2524633649</v>
      </c>
      <c r="F92" s="42" t="s">
        <v>256</v>
      </c>
      <c r="G92" s="84">
        <v>33575</v>
      </c>
      <c r="H92" s="108" t="str">
        <f>CHOOSE(MONTH(G92),"January","February","March","April","May","June","July","August","September","October","November","December")</f>
        <v>December</v>
      </c>
      <c r="I92" s="54">
        <f ca="1">DATEDIF(G92,TODAY(),"Y")</f>
        <v>24</v>
      </c>
      <c r="J92" s="55" t="s">
        <v>262</v>
      </c>
      <c r="K92" s="56">
        <v>61400</v>
      </c>
      <c r="L92" s="57">
        <v>5</v>
      </c>
    </row>
    <row r="93" spans="1:12" ht="15" x14ac:dyDescent="0.25">
      <c r="A93" s="42" t="s">
        <v>729</v>
      </c>
      <c r="B93" s="49" t="s">
        <v>285</v>
      </c>
      <c r="C93" s="42" t="s">
        <v>312</v>
      </c>
      <c r="D93" s="75">
        <v>571120098</v>
      </c>
      <c r="E93" s="76">
        <v>2525789252</v>
      </c>
      <c r="F93" s="42" t="s">
        <v>256</v>
      </c>
      <c r="G93" s="84">
        <v>35829</v>
      </c>
      <c r="H93" s="108" t="str">
        <f>CHOOSE(MONTH(G93),"January","February","March","April","May","June","July","August","September","October","November","December")</f>
        <v>February</v>
      </c>
      <c r="I93" s="54">
        <f ca="1">DATEDIF(G93,TODAY(),"Y")</f>
        <v>18</v>
      </c>
      <c r="J93" s="55" t="s">
        <v>257</v>
      </c>
      <c r="K93" s="56">
        <v>61030</v>
      </c>
      <c r="L93" s="57">
        <v>3</v>
      </c>
    </row>
    <row r="94" spans="1:12" ht="15" x14ac:dyDescent="0.25">
      <c r="A94" s="42" t="s">
        <v>311</v>
      </c>
      <c r="B94" s="49" t="s">
        <v>245</v>
      </c>
      <c r="C94" s="42" t="s">
        <v>312</v>
      </c>
      <c r="D94" s="75">
        <v>126492342</v>
      </c>
      <c r="E94" s="76">
        <v>9196299247</v>
      </c>
      <c r="F94" s="42" t="s">
        <v>252</v>
      </c>
      <c r="G94" s="84">
        <v>36059</v>
      </c>
      <c r="H94" s="108" t="str">
        <f>CHOOSE(MONTH(G94),"January","February","March","April","May","June","July","August","September","October","November","December")</f>
        <v>September</v>
      </c>
      <c r="I94" s="54">
        <f ca="1">DATEDIF(G94,TODAY(),"Y")</f>
        <v>18</v>
      </c>
      <c r="J94" s="55"/>
      <c r="K94" s="56">
        <v>18500</v>
      </c>
      <c r="L94" s="57">
        <v>5</v>
      </c>
    </row>
    <row r="95" spans="1:12" ht="15" x14ac:dyDescent="0.25">
      <c r="A95" s="42" t="s">
        <v>781</v>
      </c>
      <c r="B95" s="49" t="s">
        <v>285</v>
      </c>
      <c r="C95" s="42" t="s">
        <v>312</v>
      </c>
      <c r="D95" s="75">
        <v>768215237</v>
      </c>
      <c r="E95" s="76">
        <v>9195993367</v>
      </c>
      <c r="F95" s="42" t="s">
        <v>261</v>
      </c>
      <c r="G95" s="84">
        <v>33472</v>
      </c>
      <c r="H95" s="108" t="str">
        <f>CHOOSE(MONTH(G95),"January","February","March","April","May","June","July","August","September","October","November","December")</f>
        <v>August</v>
      </c>
      <c r="I95" s="54">
        <f ca="1">DATEDIF(G95,TODAY(),"Y")</f>
        <v>25</v>
      </c>
      <c r="J95" s="55" t="s">
        <v>262</v>
      </c>
      <c r="K95" s="56">
        <v>13800</v>
      </c>
      <c r="L95" s="57">
        <v>3</v>
      </c>
    </row>
    <row r="96" spans="1:12" ht="15" x14ac:dyDescent="0.25">
      <c r="A96" s="42" t="s">
        <v>839</v>
      </c>
      <c r="B96" s="49" t="s">
        <v>245</v>
      </c>
      <c r="C96" s="42" t="s">
        <v>312</v>
      </c>
      <c r="D96" s="75">
        <v>676534152</v>
      </c>
      <c r="E96" s="76">
        <v>9194416232</v>
      </c>
      <c r="F96" s="42" t="s">
        <v>256</v>
      </c>
      <c r="G96" s="106">
        <v>40292</v>
      </c>
      <c r="H96" s="108" t="str">
        <f>CHOOSE(MONTH(G96),"January","February","March","April","May","June","July","August","September","October","November","December")</f>
        <v>April</v>
      </c>
      <c r="I96" s="54">
        <f ca="1">DATEDIF(G96,TODAY(),"Y")</f>
        <v>6</v>
      </c>
      <c r="J96" s="55" t="s">
        <v>257</v>
      </c>
      <c r="K96" s="56">
        <v>23280</v>
      </c>
      <c r="L96" s="57">
        <v>1</v>
      </c>
    </row>
    <row r="97" spans="1:12" ht="15" x14ac:dyDescent="0.25">
      <c r="A97" s="42" t="s">
        <v>716</v>
      </c>
      <c r="B97" s="49" t="s">
        <v>271</v>
      </c>
      <c r="C97" s="42" t="s">
        <v>312</v>
      </c>
      <c r="D97" s="75">
        <v>147261161</v>
      </c>
      <c r="E97" s="76">
        <v>9197692593</v>
      </c>
      <c r="F97" s="42" t="s">
        <v>256</v>
      </c>
      <c r="G97" s="84">
        <v>34832</v>
      </c>
      <c r="H97" s="108" t="str">
        <f>CHOOSE(MONTH(G97),"January","February","March","April","May","June","July","August","September","October","November","December")</f>
        <v>May</v>
      </c>
      <c r="I97" s="54">
        <f ca="1">DATEDIF(G97,TODAY(),"Y")</f>
        <v>21</v>
      </c>
      <c r="J97" s="55" t="s">
        <v>257</v>
      </c>
      <c r="K97" s="56">
        <v>31910</v>
      </c>
      <c r="L97" s="57">
        <v>5</v>
      </c>
    </row>
    <row r="98" spans="1:12" ht="15" x14ac:dyDescent="0.25">
      <c r="A98" s="42" t="s">
        <v>319</v>
      </c>
      <c r="B98" s="49" t="s">
        <v>285</v>
      </c>
      <c r="C98" s="42" t="s">
        <v>312</v>
      </c>
      <c r="D98" s="75">
        <v>644862142</v>
      </c>
      <c r="E98" s="76">
        <v>9193274978</v>
      </c>
      <c r="F98" s="42" t="s">
        <v>247</v>
      </c>
      <c r="G98" s="84">
        <v>34651</v>
      </c>
      <c r="H98" s="108" t="str">
        <f>CHOOSE(MONTH(G98),"January","February","March","April","May","June","July","August","September","October","November","December")</f>
        <v>November</v>
      </c>
      <c r="I98" s="54">
        <f ca="1">DATEDIF(G98,TODAY(),"Y")</f>
        <v>21</v>
      </c>
      <c r="J98" s="55"/>
      <c r="K98" s="56">
        <v>46670</v>
      </c>
      <c r="L98" s="57">
        <v>3</v>
      </c>
    </row>
    <row r="99" spans="1:12" ht="15" x14ac:dyDescent="0.25">
      <c r="A99" s="42" t="s">
        <v>619</v>
      </c>
      <c r="B99" s="49" t="s">
        <v>245</v>
      </c>
      <c r="C99" s="42" t="s">
        <v>312</v>
      </c>
      <c r="D99" s="75">
        <v>841913875</v>
      </c>
      <c r="E99" s="76">
        <v>2522511732</v>
      </c>
      <c r="F99" s="42" t="s">
        <v>247</v>
      </c>
      <c r="G99" s="84">
        <v>35160</v>
      </c>
      <c r="H99" s="108" t="str">
        <f>CHOOSE(MONTH(G99),"January","February","March","April","May","June","July","August","September","October","November","December")</f>
        <v>April</v>
      </c>
      <c r="I99" s="54">
        <f ca="1">DATEDIF(G99,TODAY(),"Y")</f>
        <v>20</v>
      </c>
      <c r="J99" s="55"/>
      <c r="K99" s="56">
        <v>50550</v>
      </c>
      <c r="L99" s="57">
        <v>2</v>
      </c>
    </row>
    <row r="100" spans="1:12" ht="15" x14ac:dyDescent="0.25">
      <c r="A100" s="42" t="s">
        <v>802</v>
      </c>
      <c r="B100" s="49" t="s">
        <v>266</v>
      </c>
      <c r="C100" s="42" t="s">
        <v>312</v>
      </c>
      <c r="D100" s="75">
        <v>600458368</v>
      </c>
      <c r="E100" s="76">
        <v>9197280453</v>
      </c>
      <c r="F100" s="42" t="s">
        <v>261</v>
      </c>
      <c r="G100" s="84">
        <v>39802</v>
      </c>
      <c r="H100" s="108" t="str">
        <f>CHOOSE(MONTH(G100),"January","February","March","April","May","June","July","August","September","October","November","December")</f>
        <v>December</v>
      </c>
      <c r="I100" s="54">
        <f ca="1">DATEDIF(G100,TODAY(),"Y")</f>
        <v>7</v>
      </c>
      <c r="J100" s="55" t="s">
        <v>276</v>
      </c>
      <c r="K100" s="56">
        <v>22535</v>
      </c>
      <c r="L100" s="57">
        <v>3</v>
      </c>
    </row>
    <row r="101" spans="1:12" ht="15" x14ac:dyDescent="0.25">
      <c r="A101" s="42"/>
      <c r="B101" s="49"/>
      <c r="C101" s="114"/>
      <c r="D101" s="75"/>
      <c r="E101" s="76"/>
      <c r="F101" s="42"/>
      <c r="G101" s="84"/>
      <c r="H101" s="108"/>
      <c r="I101" s="54"/>
      <c r="J101" s="55"/>
      <c r="K101" s="56"/>
      <c r="L101" s="57"/>
    </row>
    <row r="102" spans="1:12" ht="15" x14ac:dyDescent="0.25">
      <c r="A102" s="42" t="s">
        <v>429</v>
      </c>
      <c r="B102" s="49" t="s">
        <v>285</v>
      </c>
      <c r="C102" s="42" t="s">
        <v>372</v>
      </c>
      <c r="D102" s="75">
        <v>272036635</v>
      </c>
      <c r="E102" s="76">
        <v>2521656242</v>
      </c>
      <c r="F102" s="42" t="s">
        <v>256</v>
      </c>
      <c r="G102" s="84">
        <v>37883</v>
      </c>
      <c r="H102" s="108" t="str">
        <f>CHOOSE(MONTH(G102),"January","February","March","April","May","June","July","August","September","October","November","December")</f>
        <v>September</v>
      </c>
      <c r="I102" s="54">
        <f ca="1">DATEDIF(G102,TODAY(),"Y")</f>
        <v>13</v>
      </c>
      <c r="J102" s="55" t="s">
        <v>257</v>
      </c>
      <c r="K102" s="56">
        <v>86530</v>
      </c>
      <c r="L102" s="57">
        <v>1</v>
      </c>
    </row>
    <row r="103" spans="1:12" ht="15" x14ac:dyDescent="0.25">
      <c r="A103" s="42" t="s">
        <v>563</v>
      </c>
      <c r="B103" s="49" t="s">
        <v>271</v>
      </c>
      <c r="C103" s="42" t="s">
        <v>372</v>
      </c>
      <c r="D103" s="75">
        <v>759350847</v>
      </c>
      <c r="E103" s="76">
        <v>2527474942</v>
      </c>
      <c r="F103" s="42" t="s">
        <v>256</v>
      </c>
      <c r="G103" s="84">
        <v>38397</v>
      </c>
      <c r="H103" s="108" t="str">
        <f>CHOOSE(MONTH(G103),"January","February","March","April","May","June","July","August","September","October","November","December")</f>
        <v>February</v>
      </c>
      <c r="I103" s="54">
        <f ca="1">DATEDIF(G103,TODAY(),"Y")</f>
        <v>11</v>
      </c>
      <c r="J103" s="55" t="s">
        <v>257</v>
      </c>
      <c r="K103" s="56">
        <v>36630</v>
      </c>
      <c r="L103" s="57">
        <v>4</v>
      </c>
    </row>
    <row r="104" spans="1:12" ht="15" x14ac:dyDescent="0.25">
      <c r="A104" s="42" t="s">
        <v>817</v>
      </c>
      <c r="B104" s="49" t="s">
        <v>285</v>
      </c>
      <c r="C104" s="42" t="s">
        <v>372</v>
      </c>
      <c r="D104" s="75">
        <v>920505896</v>
      </c>
      <c r="E104" s="76">
        <v>2523173691</v>
      </c>
      <c r="F104" s="42" t="s">
        <v>247</v>
      </c>
      <c r="G104" s="84">
        <v>38755</v>
      </c>
      <c r="H104" s="108" t="str">
        <f>CHOOSE(MONTH(G104),"January","February","March","April","May","June","July","August","September","October","November","December")</f>
        <v>February</v>
      </c>
      <c r="I104" s="54">
        <f ca="1">DATEDIF(G104,TODAY(),"Y")</f>
        <v>10</v>
      </c>
      <c r="J104" s="55"/>
      <c r="K104" s="56">
        <v>78860</v>
      </c>
      <c r="L104" s="57">
        <v>2</v>
      </c>
    </row>
    <row r="105" spans="1:12" ht="15" x14ac:dyDescent="0.25">
      <c r="A105" s="42" t="s">
        <v>718</v>
      </c>
      <c r="B105" s="49" t="s">
        <v>285</v>
      </c>
      <c r="C105" s="42" t="s">
        <v>372</v>
      </c>
      <c r="D105" s="75">
        <v>207506781</v>
      </c>
      <c r="E105" s="76">
        <v>9194125294</v>
      </c>
      <c r="F105" s="42" t="s">
        <v>256</v>
      </c>
      <c r="G105" s="84">
        <v>39923</v>
      </c>
      <c r="H105" s="108" t="str">
        <f>CHOOSE(MONTH(G105),"January","February","March","April","May","June","July","August","September","October","November","December")</f>
        <v>April</v>
      </c>
      <c r="I105" s="54">
        <f ca="1">DATEDIF(G105,TODAY(),"Y")</f>
        <v>7</v>
      </c>
      <c r="J105" s="55" t="s">
        <v>257</v>
      </c>
      <c r="K105" s="56">
        <v>76440</v>
      </c>
      <c r="L105" s="57">
        <v>3</v>
      </c>
    </row>
    <row r="106" spans="1:12" ht="15" x14ac:dyDescent="0.25">
      <c r="A106" s="42" t="s">
        <v>388</v>
      </c>
      <c r="B106" s="49" t="s">
        <v>251</v>
      </c>
      <c r="C106" s="42" t="s">
        <v>372</v>
      </c>
      <c r="D106" s="75">
        <v>640301378</v>
      </c>
      <c r="E106" s="76">
        <v>2524663056</v>
      </c>
      <c r="F106" s="42" t="s">
        <v>261</v>
      </c>
      <c r="G106" s="106">
        <v>40505</v>
      </c>
      <c r="H106" s="108" t="str">
        <f>CHOOSE(MONTH(G106),"January","February","March","April","May","June","July","August","September","October","November","December")</f>
        <v>November</v>
      </c>
      <c r="I106" s="54">
        <f ca="1">DATEDIF(G106,TODAY(),"Y")</f>
        <v>5</v>
      </c>
      <c r="J106" s="55" t="s">
        <v>283</v>
      </c>
      <c r="K106" s="56">
        <v>46230</v>
      </c>
      <c r="L106" s="57">
        <v>2</v>
      </c>
    </row>
    <row r="107" spans="1:12" ht="15" x14ac:dyDescent="0.25">
      <c r="A107" s="42" t="s">
        <v>448</v>
      </c>
      <c r="B107" s="49" t="s">
        <v>271</v>
      </c>
      <c r="C107" s="42" t="s">
        <v>372</v>
      </c>
      <c r="D107" s="75">
        <v>106966222</v>
      </c>
      <c r="E107" s="76">
        <v>9198310129</v>
      </c>
      <c r="F107" s="42" t="s">
        <v>247</v>
      </c>
      <c r="G107" s="84">
        <v>39529</v>
      </c>
      <c r="H107" s="108" t="str">
        <f>CHOOSE(MONTH(G107),"January","February","March","April","May","June","July","August","September","October","November","December")</f>
        <v>March</v>
      </c>
      <c r="I107" s="54">
        <f ca="1">DATEDIF(G107,TODAY(),"Y")</f>
        <v>8</v>
      </c>
      <c r="J107" s="55"/>
      <c r="K107" s="56">
        <v>35620</v>
      </c>
      <c r="L107" s="57">
        <v>4</v>
      </c>
    </row>
    <row r="108" spans="1:12" ht="15" x14ac:dyDescent="0.25">
      <c r="A108" s="42" t="s">
        <v>591</v>
      </c>
      <c r="B108" s="49" t="s">
        <v>280</v>
      </c>
      <c r="C108" s="42" t="s">
        <v>372</v>
      </c>
      <c r="D108" s="75">
        <v>676831149</v>
      </c>
      <c r="E108" s="76">
        <v>9192824485</v>
      </c>
      <c r="F108" s="42" t="s">
        <v>256</v>
      </c>
      <c r="G108" s="84">
        <v>39388</v>
      </c>
      <c r="H108" s="108" t="str">
        <f>CHOOSE(MONTH(G108),"January","February","March","April","May","June","July","August","September","October","November","December")</f>
        <v>November</v>
      </c>
      <c r="I108" s="54">
        <f ca="1">DATEDIF(G108,TODAY(),"Y")</f>
        <v>9</v>
      </c>
      <c r="J108" s="55" t="s">
        <v>257</v>
      </c>
      <c r="K108" s="56">
        <v>71120</v>
      </c>
      <c r="L108" s="57">
        <v>4</v>
      </c>
    </row>
    <row r="109" spans="1:12" ht="15" x14ac:dyDescent="0.25">
      <c r="A109" s="42" t="s">
        <v>932</v>
      </c>
      <c r="B109" s="49" t="s">
        <v>285</v>
      </c>
      <c r="C109" s="42" t="s">
        <v>372</v>
      </c>
      <c r="D109" s="75">
        <v>495042805</v>
      </c>
      <c r="E109" s="76">
        <v>9197146686</v>
      </c>
      <c r="F109" s="42" t="s">
        <v>247</v>
      </c>
      <c r="G109" s="106">
        <v>40253</v>
      </c>
      <c r="H109" s="108" t="str">
        <f>CHOOSE(MONTH(G109),"January","February","March","April","May","June","July","August","September","October","November","December")</f>
        <v>March</v>
      </c>
      <c r="I109" s="54">
        <f ca="1">DATEDIF(G109,TODAY(),"Y")</f>
        <v>6</v>
      </c>
      <c r="J109" s="55"/>
      <c r="K109" s="56">
        <v>59350</v>
      </c>
      <c r="L109" s="57">
        <v>5</v>
      </c>
    </row>
    <row r="110" spans="1:12" ht="15" x14ac:dyDescent="0.25">
      <c r="A110" s="42"/>
      <c r="B110" s="49"/>
      <c r="C110" s="114"/>
      <c r="D110" s="75"/>
      <c r="E110" s="76"/>
      <c r="F110" s="42"/>
      <c r="G110" s="106"/>
      <c r="H110" s="108"/>
      <c r="I110" s="54"/>
      <c r="J110" s="55"/>
      <c r="K110" s="56"/>
      <c r="L110" s="57"/>
    </row>
    <row r="111" spans="1:12" ht="15" x14ac:dyDescent="0.25">
      <c r="A111" s="42" t="s">
        <v>625</v>
      </c>
      <c r="B111" s="49" t="s">
        <v>271</v>
      </c>
      <c r="C111" s="42" t="s">
        <v>381</v>
      </c>
      <c r="D111" s="75">
        <v>324622113</v>
      </c>
      <c r="E111" s="76">
        <v>9198824849</v>
      </c>
      <c r="F111" s="42" t="s">
        <v>261</v>
      </c>
      <c r="G111" s="106">
        <v>40516</v>
      </c>
      <c r="H111" s="108" t="str">
        <f>CHOOSE(MONTH(G111),"January","February","March","April","May","June","July","August","September","October","November","December")</f>
        <v>December</v>
      </c>
      <c r="I111" s="54">
        <f ca="1">DATEDIF(G111,TODAY(),"Y")</f>
        <v>5</v>
      </c>
      <c r="J111" s="55" t="s">
        <v>283</v>
      </c>
      <c r="K111" s="56">
        <v>28625</v>
      </c>
      <c r="L111" s="57">
        <v>1</v>
      </c>
    </row>
    <row r="112" spans="1:12" ht="15" x14ac:dyDescent="0.25">
      <c r="A112" s="42" t="s">
        <v>504</v>
      </c>
      <c r="B112" s="49" t="s">
        <v>271</v>
      </c>
      <c r="C112" s="42" t="s">
        <v>381</v>
      </c>
      <c r="D112" s="75">
        <v>925049144</v>
      </c>
      <c r="E112" s="76">
        <v>2524752921</v>
      </c>
      <c r="F112" s="42" t="s">
        <v>256</v>
      </c>
      <c r="G112" s="84">
        <v>36249</v>
      </c>
      <c r="H112" s="108" t="str">
        <f>CHOOSE(MONTH(G112),"January","February","March","April","May","June","July","August","September","October","November","December")</f>
        <v>March</v>
      </c>
      <c r="I112" s="54">
        <f ca="1">DATEDIF(G112,TODAY(),"Y")</f>
        <v>17</v>
      </c>
      <c r="J112" s="55" t="s">
        <v>257</v>
      </c>
      <c r="K112" s="56">
        <v>49860</v>
      </c>
      <c r="L112" s="57">
        <v>2</v>
      </c>
    </row>
    <row r="113" spans="1:12" ht="15" x14ac:dyDescent="0.25">
      <c r="A113" s="42" t="s">
        <v>650</v>
      </c>
      <c r="B113" s="49" t="s">
        <v>285</v>
      </c>
      <c r="C113" s="42" t="s">
        <v>381</v>
      </c>
      <c r="D113" s="75">
        <v>405297884</v>
      </c>
      <c r="E113" s="76">
        <v>2524747044</v>
      </c>
      <c r="F113" s="42" t="s">
        <v>256</v>
      </c>
      <c r="G113" s="84">
        <v>33071</v>
      </c>
      <c r="H113" s="108" t="str">
        <f>CHOOSE(MONTH(G113),"January","February","March","April","May","June","July","August","September","October","November","December")</f>
        <v>July</v>
      </c>
      <c r="I113" s="54">
        <f ca="1">DATEDIF(G113,TODAY(),"Y")</f>
        <v>26</v>
      </c>
      <c r="J113" s="55" t="s">
        <v>283</v>
      </c>
      <c r="K113" s="56">
        <v>69060</v>
      </c>
      <c r="L113" s="57">
        <v>1</v>
      </c>
    </row>
    <row r="114" spans="1:12" ht="15" x14ac:dyDescent="0.25">
      <c r="A114" s="42" t="s">
        <v>436</v>
      </c>
      <c r="B114" s="49" t="s">
        <v>280</v>
      </c>
      <c r="C114" s="42" t="s">
        <v>381</v>
      </c>
      <c r="D114" s="75">
        <v>313651312</v>
      </c>
      <c r="E114" s="76">
        <v>2526092172</v>
      </c>
      <c r="F114" s="42" t="s">
        <v>256</v>
      </c>
      <c r="G114" s="84">
        <v>36182</v>
      </c>
      <c r="H114" s="108" t="str">
        <f>CHOOSE(MONTH(G114),"January","February","March","April","May","June","July","August","September","October","November","December")</f>
        <v>January</v>
      </c>
      <c r="I114" s="54">
        <f ca="1">DATEDIF(G114,TODAY(),"Y")</f>
        <v>17</v>
      </c>
      <c r="J114" s="55" t="s">
        <v>283</v>
      </c>
      <c r="K114" s="56">
        <v>68300</v>
      </c>
      <c r="L114" s="57">
        <v>5</v>
      </c>
    </row>
    <row r="115" spans="1:12" ht="15" x14ac:dyDescent="0.25">
      <c r="A115" s="42" t="s">
        <v>924</v>
      </c>
      <c r="B115" s="49" t="s">
        <v>266</v>
      </c>
      <c r="C115" s="42" t="s">
        <v>381</v>
      </c>
      <c r="D115" s="75">
        <v>452692136</v>
      </c>
      <c r="E115" s="76">
        <v>2524106437</v>
      </c>
      <c r="F115" s="42" t="s">
        <v>256</v>
      </c>
      <c r="G115" s="84">
        <v>35514</v>
      </c>
      <c r="H115" s="108" t="str">
        <f>CHOOSE(MONTH(G115),"January","February","March","April","May","June","July","August","September","October","November","December")</f>
        <v>March</v>
      </c>
      <c r="I115" s="54">
        <f ca="1">DATEDIF(G115,TODAY(),"Y")</f>
        <v>19</v>
      </c>
      <c r="J115" s="55" t="s">
        <v>267</v>
      </c>
      <c r="K115" s="56">
        <v>26510</v>
      </c>
      <c r="L115" s="57">
        <v>1</v>
      </c>
    </row>
    <row r="116" spans="1:12" ht="15" x14ac:dyDescent="0.25">
      <c r="A116" s="42" t="s">
        <v>572</v>
      </c>
      <c r="B116" s="49" t="s">
        <v>285</v>
      </c>
      <c r="C116" s="42" t="s">
        <v>381</v>
      </c>
      <c r="D116" s="75">
        <v>510190628</v>
      </c>
      <c r="E116" s="76">
        <v>2527405629</v>
      </c>
      <c r="F116" s="42" t="s">
        <v>256</v>
      </c>
      <c r="G116" s="84">
        <v>39147</v>
      </c>
      <c r="H116" s="108" t="str">
        <f>CHOOSE(MONTH(G116),"January","February","March","April","May","June","July","August","September","October","November","December")</f>
        <v>March</v>
      </c>
      <c r="I116" s="54">
        <f ca="1">DATEDIF(G116,TODAY(),"Y")</f>
        <v>9</v>
      </c>
      <c r="J116" s="55" t="s">
        <v>283</v>
      </c>
      <c r="K116" s="56">
        <v>43680</v>
      </c>
      <c r="L116" s="57">
        <v>5</v>
      </c>
    </row>
    <row r="117" spans="1:12" ht="15" x14ac:dyDescent="0.25">
      <c r="A117" s="42" t="s">
        <v>808</v>
      </c>
      <c r="B117" s="49" t="s">
        <v>271</v>
      </c>
      <c r="C117" s="42" t="s">
        <v>381</v>
      </c>
      <c r="D117" s="75">
        <v>943671719</v>
      </c>
      <c r="E117" s="76">
        <v>9193517837</v>
      </c>
      <c r="F117" s="42" t="s">
        <v>256</v>
      </c>
      <c r="G117" s="84">
        <v>35449</v>
      </c>
      <c r="H117" s="108" t="str">
        <f>CHOOSE(MONTH(G117),"January","February","March","April","May","June","July","August","September","October","November","December")</f>
        <v>January</v>
      </c>
      <c r="I117" s="54">
        <f ca="1">DATEDIF(G117,TODAY(),"Y")</f>
        <v>19</v>
      </c>
      <c r="J117" s="55" t="s">
        <v>283</v>
      </c>
      <c r="K117" s="56">
        <v>22920</v>
      </c>
      <c r="L117" s="57">
        <v>3</v>
      </c>
    </row>
    <row r="118" spans="1:12" ht="15" x14ac:dyDescent="0.25">
      <c r="A118" s="42" t="s">
        <v>370</v>
      </c>
      <c r="B118" s="49" t="s">
        <v>271</v>
      </c>
      <c r="C118" s="42" t="s">
        <v>381</v>
      </c>
      <c r="D118" s="75">
        <v>651995963</v>
      </c>
      <c r="E118" s="76">
        <v>9194944945</v>
      </c>
      <c r="F118" s="42" t="s">
        <v>252</v>
      </c>
      <c r="G118" s="106">
        <v>40313</v>
      </c>
      <c r="H118" s="108" t="str">
        <f>CHOOSE(MONTH(G118),"January","February","March","April","May","June","July","August","September","October","November","December")</f>
        <v>May</v>
      </c>
      <c r="I118" s="54">
        <f ca="1">DATEDIF(G118,TODAY(),"Y")</f>
        <v>6</v>
      </c>
      <c r="J118" s="55"/>
      <c r="K118" s="56">
        <v>27484</v>
      </c>
      <c r="L118" s="57">
        <v>4</v>
      </c>
    </row>
    <row r="119" spans="1:12" ht="15" x14ac:dyDescent="0.25">
      <c r="A119" s="42" t="s">
        <v>927</v>
      </c>
      <c r="B119" s="49" t="s">
        <v>285</v>
      </c>
      <c r="C119" s="42" t="s">
        <v>381</v>
      </c>
      <c r="D119" s="75">
        <v>124203063</v>
      </c>
      <c r="E119" s="76">
        <v>9192229885</v>
      </c>
      <c r="F119" s="42" t="s">
        <v>261</v>
      </c>
      <c r="G119" s="84">
        <v>40572</v>
      </c>
      <c r="H119" s="108" t="str">
        <f>CHOOSE(MONTH(G119),"January","February","March","April","May","June","July","August","September","October","November","December")</f>
        <v>January</v>
      </c>
      <c r="I119" s="54">
        <f ca="1">DATEDIF(G119,TODAY(),"Y")</f>
        <v>5</v>
      </c>
      <c r="J119" s="55" t="s">
        <v>283</v>
      </c>
      <c r="K119" s="56">
        <v>10520</v>
      </c>
      <c r="L119" s="57">
        <v>4</v>
      </c>
    </row>
    <row r="120" spans="1:12" ht="15" x14ac:dyDescent="0.25">
      <c r="A120" s="42"/>
      <c r="B120" s="49"/>
      <c r="C120" s="114"/>
      <c r="D120" s="75"/>
      <c r="E120" s="76"/>
      <c r="F120" s="42"/>
      <c r="G120" s="84"/>
      <c r="H120" s="108"/>
      <c r="I120" s="54"/>
      <c r="J120" s="55"/>
      <c r="K120" s="56"/>
      <c r="L120" s="57"/>
    </row>
    <row r="121" spans="1:12" ht="15" x14ac:dyDescent="0.25">
      <c r="A121" s="42" t="s">
        <v>314</v>
      </c>
      <c r="B121" s="49" t="s">
        <v>266</v>
      </c>
      <c r="C121" s="42" t="s">
        <v>391</v>
      </c>
      <c r="D121" s="75">
        <v>707882019</v>
      </c>
      <c r="E121" s="76">
        <v>2523373445</v>
      </c>
      <c r="F121" s="42" t="s">
        <v>247</v>
      </c>
      <c r="G121" s="84">
        <v>36342</v>
      </c>
      <c r="H121" s="108" t="str">
        <f>CHOOSE(MONTH(G121),"January","February","March","April","May","June","July","August","September","October","November","December")</f>
        <v>July</v>
      </c>
      <c r="I121" s="54">
        <f ca="1">DATEDIF(G121,TODAY(),"Y")</f>
        <v>17</v>
      </c>
      <c r="J121" s="55"/>
      <c r="K121" s="56">
        <v>86970</v>
      </c>
      <c r="L121" s="57">
        <v>4</v>
      </c>
    </row>
    <row r="122" spans="1:12" ht="15" x14ac:dyDescent="0.25">
      <c r="A122" s="42" t="s">
        <v>344</v>
      </c>
      <c r="B122" s="49" t="s">
        <v>245</v>
      </c>
      <c r="C122" s="42" t="s">
        <v>391</v>
      </c>
      <c r="D122" s="75">
        <v>719937584</v>
      </c>
      <c r="E122" s="76">
        <v>9191653055</v>
      </c>
      <c r="F122" s="42" t="s">
        <v>256</v>
      </c>
      <c r="G122" s="84">
        <v>33447</v>
      </c>
      <c r="H122" s="108" t="str">
        <f>CHOOSE(MONTH(G122),"January","February","March","April","May","June","July","August","September","October","November","December")</f>
        <v>July</v>
      </c>
      <c r="I122" s="54">
        <f ca="1">DATEDIF(G122,TODAY(),"Y")</f>
        <v>25</v>
      </c>
      <c r="J122" s="55" t="s">
        <v>283</v>
      </c>
      <c r="K122" s="56">
        <v>37620</v>
      </c>
      <c r="L122" s="57">
        <v>5</v>
      </c>
    </row>
    <row r="123" spans="1:12" ht="15" x14ac:dyDescent="0.25">
      <c r="A123" s="42" t="s">
        <v>936</v>
      </c>
      <c r="B123" s="49" t="s">
        <v>271</v>
      </c>
      <c r="C123" s="42" t="s">
        <v>391</v>
      </c>
      <c r="D123" s="75">
        <v>907491320</v>
      </c>
      <c r="E123" s="76">
        <v>2525724528</v>
      </c>
      <c r="F123" s="42" t="s">
        <v>261</v>
      </c>
      <c r="G123" s="84">
        <v>36357</v>
      </c>
      <c r="H123" s="108" t="str">
        <f>CHOOSE(MONTH(G123),"January","February","March","April","May","June","July","August","September","October","November","December")</f>
        <v>July</v>
      </c>
      <c r="I123" s="54">
        <f ca="1">DATEDIF(G123,TODAY(),"Y")</f>
        <v>17</v>
      </c>
      <c r="J123" s="55" t="s">
        <v>276</v>
      </c>
      <c r="K123" s="56">
        <v>42905</v>
      </c>
      <c r="L123" s="57">
        <v>1</v>
      </c>
    </row>
    <row r="124" spans="1:12" ht="15" x14ac:dyDescent="0.25">
      <c r="A124" s="42" t="s">
        <v>895</v>
      </c>
      <c r="B124" s="49" t="s">
        <v>285</v>
      </c>
      <c r="C124" s="42" t="s">
        <v>391</v>
      </c>
      <c r="D124" s="75">
        <v>685953695</v>
      </c>
      <c r="E124" s="76">
        <v>9196756847</v>
      </c>
      <c r="F124" s="42" t="s">
        <v>256</v>
      </c>
      <c r="G124" s="84">
        <v>33823</v>
      </c>
      <c r="H124" s="108" t="str">
        <f>CHOOSE(MONTH(G124),"January","February","March","April","May","June","July","August","September","October","November","December")</f>
        <v>August</v>
      </c>
      <c r="I124" s="54">
        <f ca="1">DATEDIF(G124,TODAY(),"Y")</f>
        <v>24</v>
      </c>
      <c r="J124" s="55" t="s">
        <v>283</v>
      </c>
      <c r="K124" s="56">
        <v>82760</v>
      </c>
      <c r="L124" s="57">
        <v>4</v>
      </c>
    </row>
    <row r="125" spans="1:12" ht="15" x14ac:dyDescent="0.25">
      <c r="A125" s="42" t="s">
        <v>579</v>
      </c>
      <c r="B125" s="49" t="s">
        <v>271</v>
      </c>
      <c r="C125" s="42" t="s">
        <v>391</v>
      </c>
      <c r="D125" s="75">
        <v>690374765</v>
      </c>
      <c r="E125" s="76">
        <v>2525786813</v>
      </c>
      <c r="F125" s="42" t="s">
        <v>256</v>
      </c>
      <c r="G125" s="84">
        <v>33613</v>
      </c>
      <c r="H125" s="108" t="str">
        <f>CHOOSE(MONTH(G125),"January","February","March","April","May","June","July","August","September","October","November","December")</f>
        <v>January</v>
      </c>
      <c r="I125" s="54">
        <f ca="1">DATEDIF(G125,TODAY(),"Y")</f>
        <v>24</v>
      </c>
      <c r="J125" s="55" t="s">
        <v>267</v>
      </c>
      <c r="K125" s="56">
        <v>82500</v>
      </c>
      <c r="L125" s="57">
        <v>5</v>
      </c>
    </row>
    <row r="126" spans="1:12" ht="15" x14ac:dyDescent="0.25">
      <c r="A126" s="42" t="s">
        <v>805</v>
      </c>
      <c r="B126" s="49" t="s">
        <v>266</v>
      </c>
      <c r="C126" s="42" t="s">
        <v>391</v>
      </c>
      <c r="D126" s="75">
        <v>291798311</v>
      </c>
      <c r="E126" s="76">
        <v>2526742736</v>
      </c>
      <c r="F126" s="42" t="s">
        <v>256</v>
      </c>
      <c r="G126" s="84">
        <v>35487</v>
      </c>
      <c r="H126" s="108" t="str">
        <f>CHOOSE(MONTH(G126),"January","February","March","April","May","June","July","August","September","October","November","December")</f>
        <v>February</v>
      </c>
      <c r="I126" s="54">
        <f ca="1">DATEDIF(G126,TODAY(),"Y")</f>
        <v>19</v>
      </c>
      <c r="J126" s="55" t="s">
        <v>257</v>
      </c>
      <c r="K126" s="56">
        <v>80120</v>
      </c>
      <c r="L126" s="57">
        <v>4</v>
      </c>
    </row>
    <row r="127" spans="1:12" ht="15" x14ac:dyDescent="0.25">
      <c r="A127" s="42" t="s">
        <v>975</v>
      </c>
      <c r="B127" s="49" t="s">
        <v>251</v>
      </c>
      <c r="C127" s="42" t="s">
        <v>391</v>
      </c>
      <c r="D127" s="75">
        <v>938508346</v>
      </c>
      <c r="E127" s="81">
        <v>2526738901</v>
      </c>
      <c r="F127" s="42" t="s">
        <v>247</v>
      </c>
      <c r="G127" s="84">
        <v>33245</v>
      </c>
      <c r="H127" s="108" t="str">
        <f>CHOOSE(MONTH(G127),"January","February","March","April","May","June","July","August","September","October","November","December")</f>
        <v>January</v>
      </c>
      <c r="I127" s="54">
        <f ca="1">DATEDIF(G127,TODAY(),"Y")</f>
        <v>25</v>
      </c>
      <c r="J127" s="55"/>
      <c r="K127" s="56">
        <v>80050</v>
      </c>
      <c r="L127" s="57">
        <v>2</v>
      </c>
    </row>
    <row r="128" spans="1:12" ht="15" x14ac:dyDescent="0.25">
      <c r="A128" s="42" t="s">
        <v>484</v>
      </c>
      <c r="B128" s="49" t="s">
        <v>271</v>
      </c>
      <c r="C128" s="42" t="s">
        <v>391</v>
      </c>
      <c r="D128" s="75">
        <v>863161920</v>
      </c>
      <c r="E128" s="76">
        <v>2523748373</v>
      </c>
      <c r="F128" s="42" t="s">
        <v>256</v>
      </c>
      <c r="G128" s="84">
        <v>36077</v>
      </c>
      <c r="H128" s="108" t="str">
        <f>CHOOSE(MONTH(G128),"January","February","March","April","May","June","July","August","September","October","November","December")</f>
        <v>October</v>
      </c>
      <c r="I128" s="54">
        <f ca="1">DATEDIF(G128,TODAY(),"Y")</f>
        <v>18</v>
      </c>
      <c r="J128" s="55" t="s">
        <v>283</v>
      </c>
      <c r="K128" s="56">
        <v>50110</v>
      </c>
      <c r="L128" s="57">
        <v>1</v>
      </c>
    </row>
    <row r="129" spans="1:12" ht="15" x14ac:dyDescent="0.25">
      <c r="A129" s="42" t="s">
        <v>458</v>
      </c>
      <c r="B129" s="49" t="s">
        <v>285</v>
      </c>
      <c r="C129" s="42" t="s">
        <v>391</v>
      </c>
      <c r="D129" s="75">
        <v>195245117</v>
      </c>
      <c r="E129" s="76">
        <v>9193451072</v>
      </c>
      <c r="F129" s="42" t="s">
        <v>252</v>
      </c>
      <c r="G129" s="84">
        <v>35673</v>
      </c>
      <c r="H129" s="108" t="str">
        <f>CHOOSE(MONTH(G129),"January","February","March","April","May","June","July","August","September","October","November","December")</f>
        <v>August</v>
      </c>
      <c r="I129" s="54">
        <f ca="1">DATEDIF(G129,TODAY(),"Y")</f>
        <v>19</v>
      </c>
      <c r="J129" s="55"/>
      <c r="K129" s="56">
        <v>12676</v>
      </c>
      <c r="L129" s="57">
        <v>2</v>
      </c>
    </row>
    <row r="130" spans="1:12" ht="15" x14ac:dyDescent="0.25">
      <c r="A130" s="42" t="s">
        <v>1002</v>
      </c>
      <c r="B130" s="49" t="s">
        <v>271</v>
      </c>
      <c r="C130" s="42" t="s">
        <v>391</v>
      </c>
      <c r="D130" s="75">
        <v>197789466</v>
      </c>
      <c r="E130" s="76">
        <v>9191472895</v>
      </c>
      <c r="F130" s="42" t="s">
        <v>247</v>
      </c>
      <c r="G130" s="84">
        <v>35737</v>
      </c>
      <c r="H130" s="108" t="str">
        <f>CHOOSE(MONTH(G130),"January","February","March","April","May","June","July","August","September","October","November","December")</f>
        <v>November</v>
      </c>
      <c r="I130" s="54">
        <f ca="1">DATEDIF(G130,TODAY(),"Y")</f>
        <v>19</v>
      </c>
      <c r="J130" s="55"/>
      <c r="K130" s="56">
        <v>76020</v>
      </c>
      <c r="L130" s="57">
        <v>1</v>
      </c>
    </row>
    <row r="131" spans="1:12" ht="15" x14ac:dyDescent="0.25">
      <c r="A131" s="42" t="s">
        <v>871</v>
      </c>
      <c r="B131" s="49" t="s">
        <v>266</v>
      </c>
      <c r="C131" s="42" t="s">
        <v>391</v>
      </c>
      <c r="D131" s="75">
        <v>434927073</v>
      </c>
      <c r="E131" s="76">
        <v>2528440900</v>
      </c>
      <c r="F131" s="42" t="s">
        <v>256</v>
      </c>
      <c r="G131" s="84">
        <v>37612</v>
      </c>
      <c r="H131" s="108" t="str">
        <f>CHOOSE(MONTH(G131),"January","February","March","April","May","June","July","August","September","October","November","December")</f>
        <v>December</v>
      </c>
      <c r="I131" s="54">
        <f ca="1">DATEDIF(G131,TODAY(),"Y")</f>
        <v>13</v>
      </c>
      <c r="J131" s="55" t="s">
        <v>267</v>
      </c>
      <c r="K131" s="56">
        <v>39740</v>
      </c>
      <c r="L131" s="57">
        <v>1</v>
      </c>
    </row>
    <row r="132" spans="1:12" ht="15" x14ac:dyDescent="0.25">
      <c r="A132" s="42" t="s">
        <v>375</v>
      </c>
      <c r="B132" s="49" t="s">
        <v>251</v>
      </c>
      <c r="C132" s="42" t="s">
        <v>391</v>
      </c>
      <c r="D132" s="75">
        <v>843875501</v>
      </c>
      <c r="E132" s="76">
        <v>2522715355</v>
      </c>
      <c r="F132" s="42" t="s">
        <v>247</v>
      </c>
      <c r="G132" s="84">
        <v>36176</v>
      </c>
      <c r="H132" s="108" t="str">
        <f>CHOOSE(MONTH(G132),"January","February","March","April","May","June","July","August","September","October","November","December")</f>
        <v>January</v>
      </c>
      <c r="I132" s="54">
        <f ca="1">DATEDIF(G132,TODAY(),"Y")</f>
        <v>17</v>
      </c>
      <c r="J132" s="55"/>
      <c r="K132" s="56">
        <v>32940</v>
      </c>
      <c r="L132" s="57">
        <v>5</v>
      </c>
    </row>
    <row r="133" spans="1:12" ht="15" x14ac:dyDescent="0.25">
      <c r="A133" s="42" t="s">
        <v>539</v>
      </c>
      <c r="B133" s="49" t="s">
        <v>280</v>
      </c>
      <c r="C133" s="42" t="s">
        <v>391</v>
      </c>
      <c r="D133" s="75">
        <v>581823751</v>
      </c>
      <c r="E133" s="76">
        <v>2528577225</v>
      </c>
      <c r="F133" s="42" t="s">
        <v>247</v>
      </c>
      <c r="G133" s="84">
        <v>37667</v>
      </c>
      <c r="H133" s="108" t="str">
        <f>CHOOSE(MONTH(G133),"January","February","March","April","May","June","July","August","September","October","November","December")</f>
        <v>February</v>
      </c>
      <c r="I133" s="54">
        <f ca="1">DATEDIF(G133,TODAY(),"Y")</f>
        <v>13</v>
      </c>
      <c r="J133" s="55"/>
      <c r="K133" s="56">
        <v>73390</v>
      </c>
      <c r="L133" s="57">
        <v>2</v>
      </c>
    </row>
    <row r="134" spans="1:12" ht="15" x14ac:dyDescent="0.25">
      <c r="A134" s="42" t="s">
        <v>569</v>
      </c>
      <c r="B134" s="49" t="s">
        <v>285</v>
      </c>
      <c r="C134" s="42" t="s">
        <v>391</v>
      </c>
      <c r="D134" s="75">
        <v>585815837</v>
      </c>
      <c r="E134" s="76">
        <v>9194983657</v>
      </c>
      <c r="F134" s="42" t="s">
        <v>261</v>
      </c>
      <c r="G134" s="84">
        <v>33994</v>
      </c>
      <c r="H134" s="108" t="str">
        <f>CHOOSE(MONTH(G134),"January","February","March","April","May","June","July","August","September","October","November","December")</f>
        <v>January</v>
      </c>
      <c r="I134" s="54">
        <f ca="1">DATEDIF(G134,TODAY(),"Y")</f>
        <v>23</v>
      </c>
      <c r="J134" s="55" t="s">
        <v>276</v>
      </c>
      <c r="K134" s="56">
        <v>18655</v>
      </c>
      <c r="L134" s="57">
        <v>4</v>
      </c>
    </row>
    <row r="135" spans="1:12" ht="15" x14ac:dyDescent="0.25">
      <c r="A135" s="42" t="s">
        <v>816</v>
      </c>
      <c r="B135" s="49" t="s">
        <v>245</v>
      </c>
      <c r="C135" s="42" t="s">
        <v>391</v>
      </c>
      <c r="D135" s="75">
        <v>681596577</v>
      </c>
      <c r="E135" s="76">
        <v>9192387348</v>
      </c>
      <c r="F135" s="42" t="s">
        <v>247</v>
      </c>
      <c r="G135" s="84">
        <v>35150</v>
      </c>
      <c r="H135" s="108" t="str">
        <f>CHOOSE(MONTH(G135),"January","February","March","April","May","June","July","August","September","October","November","December")</f>
        <v>March</v>
      </c>
      <c r="I135" s="54">
        <f ca="1">DATEDIF(G135,TODAY(),"Y")</f>
        <v>20</v>
      </c>
      <c r="J135" s="55"/>
      <c r="K135" s="56">
        <v>35260</v>
      </c>
      <c r="L135" s="57">
        <v>2</v>
      </c>
    </row>
    <row r="136" spans="1:12" ht="15" x14ac:dyDescent="0.25">
      <c r="A136" s="48" t="s">
        <v>244</v>
      </c>
      <c r="B136" s="49" t="s">
        <v>285</v>
      </c>
      <c r="C136" s="42" t="s">
        <v>391</v>
      </c>
      <c r="D136" s="75">
        <v>828996583</v>
      </c>
      <c r="E136" s="76">
        <v>2521282202</v>
      </c>
      <c r="F136" s="42" t="s">
        <v>252</v>
      </c>
      <c r="G136" s="84">
        <v>33183</v>
      </c>
      <c r="H136" s="108" t="str">
        <f>CHOOSE(MONTH(G136),"January","February","March","April","May","June","July","August","September","October","November","December")</f>
        <v>November</v>
      </c>
      <c r="I136" s="54">
        <f ca="1">DATEDIF(G136,TODAY(),"Y")</f>
        <v>26</v>
      </c>
      <c r="J136" s="55"/>
      <c r="K136" s="56">
        <v>14712</v>
      </c>
      <c r="L136" s="57">
        <v>5</v>
      </c>
    </row>
    <row r="137" spans="1:12" ht="15" x14ac:dyDescent="0.25">
      <c r="A137" s="42" t="s">
        <v>324</v>
      </c>
      <c r="B137" s="49" t="s">
        <v>271</v>
      </c>
      <c r="C137" s="42" t="s">
        <v>391</v>
      </c>
      <c r="D137" s="75">
        <v>526188716</v>
      </c>
      <c r="E137" s="76">
        <v>2527230063</v>
      </c>
      <c r="F137" s="42" t="s">
        <v>247</v>
      </c>
      <c r="G137" s="84">
        <v>35959</v>
      </c>
      <c r="H137" s="108" t="str">
        <f>CHOOSE(MONTH(G137),"January","February","March","April","May","June","July","August","September","October","November","December")</f>
        <v>June</v>
      </c>
      <c r="I137" s="54">
        <f ca="1">DATEDIF(G137,TODAY(),"Y")</f>
        <v>18</v>
      </c>
      <c r="J137" s="55"/>
      <c r="K137" s="56">
        <v>64470</v>
      </c>
      <c r="L137" s="57">
        <v>3</v>
      </c>
    </row>
    <row r="138" spans="1:12" ht="15" x14ac:dyDescent="0.25">
      <c r="A138" s="42" t="s">
        <v>819</v>
      </c>
      <c r="B138" s="49" t="s">
        <v>285</v>
      </c>
      <c r="C138" s="42" t="s">
        <v>391</v>
      </c>
      <c r="D138" s="75">
        <v>694800128</v>
      </c>
      <c r="E138" s="76">
        <v>9197111802</v>
      </c>
      <c r="F138" s="42" t="s">
        <v>256</v>
      </c>
      <c r="G138" s="84">
        <v>36269</v>
      </c>
      <c r="H138" s="108" t="str">
        <f>CHOOSE(MONTH(G138),"January","February","March","April","May","June","July","August","September","October","November","December")</f>
        <v>April</v>
      </c>
      <c r="I138" s="54">
        <f ca="1">DATEDIF(G138,TODAY(),"Y")</f>
        <v>17</v>
      </c>
      <c r="J138" s="55" t="s">
        <v>283</v>
      </c>
      <c r="K138" s="56">
        <v>61330</v>
      </c>
      <c r="L138" s="57">
        <v>1</v>
      </c>
    </row>
    <row r="139" spans="1:12" ht="15" x14ac:dyDescent="0.25">
      <c r="A139" s="42" t="s">
        <v>378</v>
      </c>
      <c r="B139" s="49" t="s">
        <v>271</v>
      </c>
      <c r="C139" s="42" t="s">
        <v>391</v>
      </c>
      <c r="D139" s="75">
        <v>469591073</v>
      </c>
      <c r="E139" s="76">
        <v>2523327522</v>
      </c>
      <c r="F139" s="42" t="s">
        <v>256</v>
      </c>
      <c r="G139" s="84">
        <v>37113</v>
      </c>
      <c r="H139" s="108" t="str">
        <f>CHOOSE(MONTH(G139),"January","February","March","April","May","June","July","August","September","October","November","December")</f>
        <v>August</v>
      </c>
      <c r="I139" s="54">
        <f ca="1">DATEDIF(G139,TODAY(),"Y")</f>
        <v>15</v>
      </c>
      <c r="J139" s="55" t="s">
        <v>267</v>
      </c>
      <c r="K139" s="56">
        <v>61150</v>
      </c>
      <c r="L139" s="57">
        <v>4</v>
      </c>
    </row>
    <row r="140" spans="1:12" ht="15" x14ac:dyDescent="0.25">
      <c r="A140" s="42"/>
      <c r="B140" s="49"/>
      <c r="C140" s="114"/>
      <c r="D140" s="75"/>
      <c r="E140" s="76"/>
      <c r="F140" s="42"/>
      <c r="G140" s="84"/>
      <c r="H140" s="108"/>
      <c r="I140" s="54"/>
      <c r="J140" s="55"/>
      <c r="K140" s="56"/>
      <c r="L140" s="57"/>
    </row>
    <row r="141" spans="1:12" ht="15" x14ac:dyDescent="0.25">
      <c r="A141" s="48" t="s">
        <v>1060</v>
      </c>
      <c r="B141" s="49" t="s">
        <v>285</v>
      </c>
      <c r="C141" s="42" t="s">
        <v>411</v>
      </c>
      <c r="D141" s="75">
        <v>850210766</v>
      </c>
      <c r="E141" s="76">
        <v>2527838614</v>
      </c>
      <c r="F141" s="42" t="s">
        <v>256</v>
      </c>
      <c r="G141" s="84">
        <v>38587</v>
      </c>
      <c r="H141" s="108" t="str">
        <f>CHOOSE(MONTH(G141),"January","February","March","April","May","June","July","August","September","October","November","December")</f>
        <v>August</v>
      </c>
      <c r="I141" s="54">
        <f ca="1">DATEDIF(G141,TODAY(),"Y")</f>
        <v>11</v>
      </c>
      <c r="J141" s="55" t="s">
        <v>257</v>
      </c>
      <c r="K141" s="56">
        <v>47350</v>
      </c>
      <c r="L141" s="57">
        <v>5</v>
      </c>
    </row>
    <row r="142" spans="1:12" ht="15" x14ac:dyDescent="0.25">
      <c r="A142" s="42" t="s">
        <v>474</v>
      </c>
      <c r="B142" s="49" t="s">
        <v>245</v>
      </c>
      <c r="C142" s="42" t="s">
        <v>411</v>
      </c>
      <c r="D142" s="75">
        <v>914041569</v>
      </c>
      <c r="E142" s="76">
        <v>9196082608</v>
      </c>
      <c r="F142" s="42" t="s">
        <v>256</v>
      </c>
      <c r="G142" s="106">
        <v>40400</v>
      </c>
      <c r="H142" s="108" t="str">
        <f>CHOOSE(MONTH(G142),"January","February","March","April","May","June","July","August","September","October","November","December")</f>
        <v>August</v>
      </c>
      <c r="I142" s="54">
        <f ca="1">DATEDIF(G142,TODAY(),"Y")</f>
        <v>6</v>
      </c>
      <c r="J142" s="55" t="s">
        <v>283</v>
      </c>
      <c r="K142" s="56">
        <v>79150</v>
      </c>
      <c r="L142" s="57">
        <v>2</v>
      </c>
    </row>
    <row r="143" spans="1:12" ht="15" x14ac:dyDescent="0.25">
      <c r="A143" s="42" t="s">
        <v>292</v>
      </c>
      <c r="B143" s="49" t="s">
        <v>245</v>
      </c>
      <c r="C143" s="42" t="s">
        <v>411</v>
      </c>
      <c r="D143" s="75">
        <v>885773638</v>
      </c>
      <c r="E143" s="76">
        <v>9196188082</v>
      </c>
      <c r="F143" s="42" t="s">
        <v>256</v>
      </c>
      <c r="G143" s="84">
        <v>36569</v>
      </c>
      <c r="H143" s="108" t="str">
        <f>CHOOSE(MONTH(G143),"January","February","March","April","May","June","July","August","September","October","November","December")</f>
        <v>February</v>
      </c>
      <c r="I143" s="54">
        <f ca="1">DATEDIF(G143,TODAY(),"Y")</f>
        <v>16</v>
      </c>
      <c r="J143" s="55" t="s">
        <v>283</v>
      </c>
      <c r="K143" s="56">
        <v>75060</v>
      </c>
      <c r="L143" s="57">
        <v>5</v>
      </c>
    </row>
    <row r="144" spans="1:12" ht="15" x14ac:dyDescent="0.25">
      <c r="A144" s="42" t="s">
        <v>394</v>
      </c>
      <c r="B144" s="49" t="s">
        <v>271</v>
      </c>
      <c r="C144" s="42" t="s">
        <v>411</v>
      </c>
      <c r="D144" s="75">
        <v>999789446</v>
      </c>
      <c r="E144" s="76">
        <v>2521696804</v>
      </c>
      <c r="F144" s="42" t="s">
        <v>256</v>
      </c>
      <c r="G144" s="84">
        <v>35329</v>
      </c>
      <c r="H144" s="108" t="str">
        <f>CHOOSE(MONTH(G144),"January","February","March","April","May","June","July","August","September","October","November","December")</f>
        <v>September</v>
      </c>
      <c r="I144" s="54">
        <f ca="1">DATEDIF(G144,TODAY(),"Y")</f>
        <v>20</v>
      </c>
      <c r="J144" s="55" t="s">
        <v>257</v>
      </c>
      <c r="K144" s="56">
        <v>66740</v>
      </c>
      <c r="L144" s="57">
        <v>2</v>
      </c>
    </row>
    <row r="145" spans="1:12" ht="15" x14ac:dyDescent="0.25">
      <c r="A145" s="42" t="s">
        <v>480</v>
      </c>
      <c r="B145" s="49" t="s">
        <v>285</v>
      </c>
      <c r="C145" s="42" t="s">
        <v>411</v>
      </c>
      <c r="D145" s="75">
        <v>699053064</v>
      </c>
      <c r="E145" s="76">
        <v>9191299076</v>
      </c>
      <c r="F145" s="42" t="s">
        <v>247</v>
      </c>
      <c r="G145" s="84">
        <v>38527</v>
      </c>
      <c r="H145" s="108" t="str">
        <f>CHOOSE(MONTH(G145),"January","February","March","April","May","June","July","August","September","October","November","December")</f>
        <v>June</v>
      </c>
      <c r="I145" s="54">
        <f ca="1">DATEDIF(G145,TODAY(),"Y")</f>
        <v>11</v>
      </c>
      <c r="J145" s="55"/>
      <c r="K145" s="56">
        <v>60060</v>
      </c>
      <c r="L145" s="57">
        <v>2</v>
      </c>
    </row>
    <row r="146" spans="1:12" ht="15" x14ac:dyDescent="0.25">
      <c r="A146" s="42"/>
      <c r="B146" s="49"/>
      <c r="C146" s="114"/>
      <c r="D146" s="75"/>
      <c r="E146" s="76"/>
      <c r="F146" s="42"/>
      <c r="G146" s="84"/>
      <c r="H146" s="108"/>
      <c r="I146" s="54"/>
      <c r="J146" s="55"/>
      <c r="K146" s="56"/>
      <c r="L146" s="57"/>
    </row>
    <row r="147" spans="1:12" ht="15" x14ac:dyDescent="0.25">
      <c r="A147" s="42" t="s">
        <v>349</v>
      </c>
      <c r="B147" s="49" t="s">
        <v>285</v>
      </c>
      <c r="C147" s="42" t="s">
        <v>417</v>
      </c>
      <c r="D147" s="75">
        <v>116869057</v>
      </c>
      <c r="E147" s="76">
        <v>2521614846</v>
      </c>
      <c r="F147" s="42" t="s">
        <v>261</v>
      </c>
      <c r="G147" s="84">
        <v>34755</v>
      </c>
      <c r="H147" s="108" t="str">
        <f>CHOOSE(MONTH(G147),"January","February","March","April","May","June","July","August","September","October","November","December")</f>
        <v>February</v>
      </c>
      <c r="I147" s="54">
        <f ca="1">DATEDIF(G147,TODAY(),"Y")</f>
        <v>21</v>
      </c>
      <c r="J147" s="55" t="s">
        <v>267</v>
      </c>
      <c r="K147" s="56">
        <v>15005</v>
      </c>
      <c r="L147" s="57">
        <v>4</v>
      </c>
    </row>
    <row r="148" spans="1:12" ht="15" x14ac:dyDescent="0.25">
      <c r="A148" s="42" t="s">
        <v>677</v>
      </c>
      <c r="B148" s="49" t="s">
        <v>285</v>
      </c>
      <c r="C148" s="42" t="s">
        <v>417</v>
      </c>
      <c r="D148" s="75">
        <v>659929807</v>
      </c>
      <c r="E148" s="76">
        <v>9193089561</v>
      </c>
      <c r="F148" s="42" t="s">
        <v>256</v>
      </c>
      <c r="G148" s="84">
        <v>38753</v>
      </c>
      <c r="H148" s="108" t="str">
        <f>CHOOSE(MONTH(G148),"January","February","March","April","May","June","July","August","September","October","November","December")</f>
        <v>February</v>
      </c>
      <c r="I148" s="54">
        <f ca="1">DATEDIF(G148,TODAY(),"Y")</f>
        <v>10</v>
      </c>
      <c r="J148" s="55" t="s">
        <v>257</v>
      </c>
      <c r="K148" s="56">
        <v>22410</v>
      </c>
      <c r="L148" s="57">
        <v>4</v>
      </c>
    </row>
    <row r="149" spans="1:12" ht="15" x14ac:dyDescent="0.25">
      <c r="A149" s="42" t="s">
        <v>397</v>
      </c>
      <c r="B149" s="49" t="s">
        <v>285</v>
      </c>
      <c r="C149" s="42" t="s">
        <v>417</v>
      </c>
      <c r="D149" s="75">
        <v>575648597</v>
      </c>
      <c r="E149" s="76">
        <v>9198865267</v>
      </c>
      <c r="F149" s="42" t="s">
        <v>247</v>
      </c>
      <c r="G149" s="84">
        <v>37641</v>
      </c>
      <c r="H149" s="108" t="str">
        <f>CHOOSE(MONTH(G149),"January","February","March","April","May","June","July","August","September","October","November","December")</f>
        <v>January</v>
      </c>
      <c r="I149" s="54">
        <f ca="1">DATEDIF(G149,TODAY(),"Y")</f>
        <v>13</v>
      </c>
      <c r="J149" s="55"/>
      <c r="K149" s="56">
        <v>31970</v>
      </c>
      <c r="L149" s="57">
        <v>5</v>
      </c>
    </row>
    <row r="150" spans="1:12" ht="15" x14ac:dyDescent="0.25">
      <c r="A150" s="42" t="s">
        <v>840</v>
      </c>
      <c r="B150" s="49" t="s">
        <v>251</v>
      </c>
      <c r="C150" s="42" t="s">
        <v>417</v>
      </c>
      <c r="D150" s="75">
        <v>212136062</v>
      </c>
      <c r="E150" s="76">
        <v>9197226463</v>
      </c>
      <c r="F150" s="42" t="s">
        <v>256</v>
      </c>
      <c r="G150" s="84">
        <v>36082</v>
      </c>
      <c r="H150" s="108" t="str">
        <f>CHOOSE(MONTH(G150),"January","February","March","April","May","June","July","August","September","October","November","December")</f>
        <v>October</v>
      </c>
      <c r="I150" s="54">
        <f ca="1">DATEDIF(G150,TODAY(),"Y")</f>
        <v>18</v>
      </c>
      <c r="J150" s="55" t="s">
        <v>283</v>
      </c>
      <c r="K150" s="56">
        <v>82400</v>
      </c>
      <c r="L150" s="57">
        <v>2</v>
      </c>
    </row>
    <row r="151" spans="1:12" ht="15" x14ac:dyDescent="0.25">
      <c r="A151" s="42" t="s">
        <v>472</v>
      </c>
      <c r="B151" s="49" t="s">
        <v>271</v>
      </c>
      <c r="C151" s="42" t="s">
        <v>417</v>
      </c>
      <c r="D151" s="75">
        <v>518690148</v>
      </c>
      <c r="E151" s="76">
        <v>2526500529</v>
      </c>
      <c r="F151" s="42" t="s">
        <v>256</v>
      </c>
      <c r="G151" s="84">
        <v>40399</v>
      </c>
      <c r="H151" s="108" t="str">
        <f>CHOOSE(MONTH(G151),"January","February","March","April","May","June","July","August","September","October","November","December")</f>
        <v>August</v>
      </c>
      <c r="I151" s="54">
        <f ca="1">DATEDIF(G151,TODAY(),"Y")</f>
        <v>6</v>
      </c>
      <c r="J151" s="55" t="s">
        <v>267</v>
      </c>
      <c r="K151" s="56">
        <v>32640</v>
      </c>
      <c r="L151" s="57">
        <v>4</v>
      </c>
    </row>
    <row r="152" spans="1:12" ht="15" x14ac:dyDescent="0.25">
      <c r="A152" s="42" t="s">
        <v>828</v>
      </c>
      <c r="B152" s="49" t="s">
        <v>271</v>
      </c>
      <c r="C152" s="42" t="s">
        <v>417</v>
      </c>
      <c r="D152" s="75">
        <v>249760737</v>
      </c>
      <c r="E152" s="76">
        <v>2522969056</v>
      </c>
      <c r="F152" s="42" t="s">
        <v>247</v>
      </c>
      <c r="G152" s="84">
        <v>33949</v>
      </c>
      <c r="H152" s="108" t="str">
        <f>CHOOSE(MONTH(G152),"January","February","March","April","May","June","July","August","September","October","November","December")</f>
        <v>December</v>
      </c>
      <c r="I152" s="54">
        <f ca="1">DATEDIF(G152,TODAY(),"Y")</f>
        <v>23</v>
      </c>
      <c r="J152" s="55"/>
      <c r="K152" s="56">
        <v>81070</v>
      </c>
      <c r="L152" s="57">
        <v>5</v>
      </c>
    </row>
    <row r="153" spans="1:12" ht="15" x14ac:dyDescent="0.25">
      <c r="A153" s="42" t="s">
        <v>923</v>
      </c>
      <c r="B153" s="49" t="s">
        <v>285</v>
      </c>
      <c r="C153" s="42" t="s">
        <v>417</v>
      </c>
      <c r="D153" s="75">
        <v>302598687</v>
      </c>
      <c r="E153" s="76">
        <v>9195394899</v>
      </c>
      <c r="F153" s="42" t="s">
        <v>256</v>
      </c>
      <c r="G153" s="84">
        <v>34086</v>
      </c>
      <c r="H153" s="108" t="str">
        <f>CHOOSE(MONTH(G153),"January","February","March","April","May","June","July","August","September","October","November","December")</f>
        <v>April</v>
      </c>
      <c r="I153" s="54">
        <f ca="1">DATEDIF(G153,TODAY(),"Y")</f>
        <v>23</v>
      </c>
      <c r="J153" s="55" t="s">
        <v>257</v>
      </c>
      <c r="K153" s="56">
        <v>31840</v>
      </c>
      <c r="L153" s="57">
        <v>1</v>
      </c>
    </row>
    <row r="154" spans="1:12" ht="15" x14ac:dyDescent="0.25">
      <c r="A154" s="42" t="s">
        <v>661</v>
      </c>
      <c r="B154" s="49" t="s">
        <v>271</v>
      </c>
      <c r="C154" s="42" t="s">
        <v>417</v>
      </c>
      <c r="D154" s="75">
        <v>232896341</v>
      </c>
      <c r="E154" s="76">
        <v>9197288082</v>
      </c>
      <c r="F154" s="42" t="s">
        <v>247</v>
      </c>
      <c r="G154" s="106">
        <v>40236</v>
      </c>
      <c r="H154" s="108" t="str">
        <f>CHOOSE(MONTH(G154),"January","February","March","April","May","June","July","August","September","October","November","December")</f>
        <v>February</v>
      </c>
      <c r="I154" s="54">
        <f ca="1">DATEDIF(G154,TODAY(),"Y")</f>
        <v>6</v>
      </c>
      <c r="J154" s="55"/>
      <c r="K154" s="56">
        <v>45830</v>
      </c>
      <c r="L154" s="57">
        <v>4</v>
      </c>
    </row>
    <row r="155" spans="1:12" ht="15" x14ac:dyDescent="0.25">
      <c r="A155" s="42" t="s">
        <v>900</v>
      </c>
      <c r="B155" s="49" t="s">
        <v>271</v>
      </c>
      <c r="C155" s="42" t="s">
        <v>417</v>
      </c>
      <c r="D155" s="75">
        <v>113699123</v>
      </c>
      <c r="E155" s="76">
        <v>2526563683</v>
      </c>
      <c r="F155" s="42" t="s">
        <v>256</v>
      </c>
      <c r="G155" s="84">
        <v>33117</v>
      </c>
      <c r="H155" s="108" t="str">
        <f>CHOOSE(MONTH(G155),"January","February","March","April","May","June","July","August","September","October","November","December")</f>
        <v>September</v>
      </c>
      <c r="I155" s="54">
        <f ca="1">DATEDIF(G155,TODAY(),"Y")</f>
        <v>26</v>
      </c>
      <c r="J155" s="55" t="s">
        <v>267</v>
      </c>
      <c r="K155" s="56">
        <v>35360</v>
      </c>
      <c r="L155" s="57">
        <v>5</v>
      </c>
    </row>
    <row r="156" spans="1:12" ht="15" x14ac:dyDescent="0.25">
      <c r="A156" s="42" t="s">
        <v>533</v>
      </c>
      <c r="B156" s="49" t="s">
        <v>245</v>
      </c>
      <c r="C156" s="42" t="s">
        <v>417</v>
      </c>
      <c r="D156" s="75">
        <v>304068732</v>
      </c>
      <c r="E156" s="76">
        <v>2523919445</v>
      </c>
      <c r="F156" s="42" t="s">
        <v>261</v>
      </c>
      <c r="G156" s="84">
        <v>33709</v>
      </c>
      <c r="H156" s="108" t="str">
        <f>CHOOSE(MONTH(G156),"January","February","March","April","May","June","July","August","September","October","November","December")</f>
        <v>April</v>
      </c>
      <c r="I156" s="54">
        <f ca="1">DATEDIF(G156,TODAY(),"Y")</f>
        <v>24</v>
      </c>
      <c r="J156" s="55" t="s">
        <v>257</v>
      </c>
      <c r="K156" s="56">
        <v>34110</v>
      </c>
      <c r="L156" s="57">
        <v>4</v>
      </c>
    </row>
    <row r="157" spans="1:12" ht="15" x14ac:dyDescent="0.25">
      <c r="A157" s="42" t="s">
        <v>321</v>
      </c>
      <c r="B157" s="49" t="s">
        <v>271</v>
      </c>
      <c r="C157" s="42" t="s">
        <v>417</v>
      </c>
      <c r="D157" s="75">
        <v>282972141</v>
      </c>
      <c r="E157" s="76">
        <v>2527135797</v>
      </c>
      <c r="F157" s="42" t="s">
        <v>247</v>
      </c>
      <c r="G157" s="84">
        <v>35939</v>
      </c>
      <c r="H157" s="108" t="str">
        <f>CHOOSE(MONTH(G157),"January","February","March","April","May","June","July","August","September","October","November","December")</f>
        <v>May</v>
      </c>
      <c r="I157" s="54">
        <f ca="1">DATEDIF(G157,TODAY(),"Y")</f>
        <v>18</v>
      </c>
      <c r="J157" s="55"/>
      <c r="K157" s="56">
        <v>25120</v>
      </c>
      <c r="L157" s="57">
        <v>5</v>
      </c>
    </row>
    <row r="158" spans="1:12" ht="15" x14ac:dyDescent="0.25">
      <c r="A158" s="42" t="s">
        <v>908</v>
      </c>
      <c r="B158" s="49" t="s">
        <v>280</v>
      </c>
      <c r="C158" s="42" t="s">
        <v>417</v>
      </c>
      <c r="D158" s="75">
        <v>525507320</v>
      </c>
      <c r="E158" s="76">
        <v>2523938131</v>
      </c>
      <c r="F158" s="42" t="s">
        <v>256</v>
      </c>
      <c r="G158" s="84">
        <v>36414</v>
      </c>
      <c r="H158" s="108" t="str">
        <f>CHOOSE(MONTH(G158),"January","February","March","April","May","June","July","August","September","October","November","December")</f>
        <v>September</v>
      </c>
      <c r="I158" s="54">
        <f ca="1">DATEDIF(G158,TODAY(),"Y")</f>
        <v>17</v>
      </c>
      <c r="J158" s="55" t="s">
        <v>276</v>
      </c>
      <c r="K158" s="56">
        <v>39680</v>
      </c>
      <c r="L158" s="57">
        <v>5</v>
      </c>
    </row>
    <row r="159" spans="1:12" ht="15" x14ac:dyDescent="0.25">
      <c r="A159" s="42" t="s">
        <v>439</v>
      </c>
      <c r="B159" s="49" t="s">
        <v>280</v>
      </c>
      <c r="C159" s="42" t="s">
        <v>417</v>
      </c>
      <c r="D159" s="75">
        <v>279591317</v>
      </c>
      <c r="E159" s="76">
        <v>2522381391</v>
      </c>
      <c r="F159" s="42" t="s">
        <v>252</v>
      </c>
      <c r="G159" s="84">
        <v>36263</v>
      </c>
      <c r="H159" s="108" t="str">
        <f>CHOOSE(MONTH(G159),"January","February","March","April","May","June","July","August","September","October","November","December")</f>
        <v>April</v>
      </c>
      <c r="I159" s="54">
        <f ca="1">DATEDIF(G159,TODAY(),"Y")</f>
        <v>17</v>
      </c>
      <c r="J159" s="55"/>
      <c r="K159" s="56">
        <v>38768</v>
      </c>
      <c r="L159" s="57">
        <v>4</v>
      </c>
    </row>
    <row r="160" spans="1:12" ht="15" x14ac:dyDescent="0.25">
      <c r="A160" s="42" t="s">
        <v>831</v>
      </c>
      <c r="B160" s="49" t="s">
        <v>285</v>
      </c>
      <c r="C160" s="42" t="s">
        <v>417</v>
      </c>
      <c r="D160" s="75">
        <v>927043360</v>
      </c>
      <c r="E160" s="76">
        <v>2526053287</v>
      </c>
      <c r="F160" s="42" t="s">
        <v>247</v>
      </c>
      <c r="G160" s="84">
        <v>33424</v>
      </c>
      <c r="H160" s="108" t="str">
        <f>CHOOSE(MONTH(G160),"January","February","March","April","May","June","July","August","September","October","November","December")</f>
        <v>July</v>
      </c>
      <c r="I160" s="54">
        <f ca="1">DATEDIF(G160,TODAY(),"Y")</f>
        <v>25</v>
      </c>
      <c r="J160" s="55"/>
      <c r="K160" s="56">
        <v>22320</v>
      </c>
      <c r="L160" s="57">
        <v>2</v>
      </c>
    </row>
    <row r="161" spans="1:12" ht="15" x14ac:dyDescent="0.25">
      <c r="A161" s="42" t="s">
        <v>602</v>
      </c>
      <c r="B161" s="49" t="s">
        <v>271</v>
      </c>
      <c r="C161" s="42" t="s">
        <v>417</v>
      </c>
      <c r="D161" s="75">
        <v>603301910</v>
      </c>
      <c r="E161" s="76">
        <v>9196514650</v>
      </c>
      <c r="F161" s="42" t="s">
        <v>256</v>
      </c>
      <c r="G161" s="84">
        <v>34213</v>
      </c>
      <c r="H161" s="108" t="str">
        <f>CHOOSE(MONTH(G161),"January","February","March","April","May","June","July","August","September","October","November","December")</f>
        <v>September</v>
      </c>
      <c r="I161" s="54">
        <f ca="1">DATEDIF(G161,TODAY(),"Y")</f>
        <v>23</v>
      </c>
      <c r="J161" s="55" t="s">
        <v>257</v>
      </c>
      <c r="K161" s="56">
        <v>72900</v>
      </c>
      <c r="L161" s="57">
        <v>3</v>
      </c>
    </row>
    <row r="162" spans="1:12" ht="15" x14ac:dyDescent="0.25">
      <c r="A162" s="42" t="s">
        <v>659</v>
      </c>
      <c r="B162" s="49" t="s">
        <v>245</v>
      </c>
      <c r="C162" s="42" t="s">
        <v>417</v>
      </c>
      <c r="D162" s="75">
        <v>429283827</v>
      </c>
      <c r="E162" s="76">
        <v>9195508095</v>
      </c>
      <c r="F162" s="42" t="s">
        <v>256</v>
      </c>
      <c r="G162" s="84">
        <v>36643</v>
      </c>
      <c r="H162" s="108" t="str">
        <f>CHOOSE(MONTH(G162),"January","February","March","April","May","June","July","August","September","October","November","December")</f>
        <v>April</v>
      </c>
      <c r="I162" s="54">
        <f ca="1">DATEDIF(G162,TODAY(),"Y")</f>
        <v>16</v>
      </c>
      <c r="J162" s="55" t="s">
        <v>283</v>
      </c>
      <c r="K162" s="56">
        <v>71380</v>
      </c>
      <c r="L162" s="57">
        <v>2</v>
      </c>
    </row>
    <row r="163" spans="1:12" ht="15" x14ac:dyDescent="0.25">
      <c r="A163" s="42" t="s">
        <v>679</v>
      </c>
      <c r="B163" s="49" t="s">
        <v>251</v>
      </c>
      <c r="C163" s="42" t="s">
        <v>417</v>
      </c>
      <c r="D163" s="75">
        <v>105708355</v>
      </c>
      <c r="E163" s="76">
        <v>2524697218</v>
      </c>
      <c r="F163" s="42" t="s">
        <v>256</v>
      </c>
      <c r="G163" s="84">
        <v>35989</v>
      </c>
      <c r="H163" s="108" t="str">
        <f>CHOOSE(MONTH(G163),"January","February","March","April","May","June","July","August","September","October","November","December")</f>
        <v>July</v>
      </c>
      <c r="I163" s="54">
        <f ca="1">DATEDIF(G163,TODAY(),"Y")</f>
        <v>18</v>
      </c>
      <c r="J163" s="55" t="s">
        <v>262</v>
      </c>
      <c r="K163" s="56">
        <v>71010</v>
      </c>
      <c r="L163" s="57">
        <v>5</v>
      </c>
    </row>
    <row r="164" spans="1:12" ht="15" x14ac:dyDescent="0.25">
      <c r="A164" s="42" t="s">
        <v>422</v>
      </c>
      <c r="B164" s="49" t="s">
        <v>271</v>
      </c>
      <c r="C164" s="42" t="s">
        <v>417</v>
      </c>
      <c r="D164" s="75">
        <v>625531462</v>
      </c>
      <c r="E164" s="76">
        <v>2527553017</v>
      </c>
      <c r="F164" s="42" t="s">
        <v>256</v>
      </c>
      <c r="G164" s="84">
        <v>37288</v>
      </c>
      <c r="H164" s="108" t="str">
        <f>CHOOSE(MONTH(G164),"January","February","March","April","May","June","July","August","September","October","November","December")</f>
        <v>February</v>
      </c>
      <c r="I164" s="54">
        <f ca="1">DATEDIF(G164,TODAY(),"Y")</f>
        <v>14</v>
      </c>
      <c r="J164" s="55" t="s">
        <v>257</v>
      </c>
      <c r="K164" s="56">
        <v>42480</v>
      </c>
      <c r="L164" s="57">
        <v>3</v>
      </c>
    </row>
    <row r="165" spans="1:12" ht="15" x14ac:dyDescent="0.25">
      <c r="A165" s="42" t="s">
        <v>528</v>
      </c>
      <c r="B165" s="49" t="s">
        <v>285</v>
      </c>
      <c r="C165" s="42" t="s">
        <v>417</v>
      </c>
      <c r="D165" s="75">
        <v>541365827</v>
      </c>
      <c r="E165" s="76">
        <v>2525317859</v>
      </c>
      <c r="F165" s="42" t="s">
        <v>256</v>
      </c>
      <c r="G165" s="84">
        <v>38135</v>
      </c>
      <c r="H165" s="108" t="str">
        <f>CHOOSE(MONTH(G165),"January","February","March","April","May","June","July","August","September","October","November","December")</f>
        <v>May</v>
      </c>
      <c r="I165" s="54">
        <f ca="1">DATEDIF(G165,TODAY(),"Y")</f>
        <v>12</v>
      </c>
      <c r="J165" s="55" t="s">
        <v>267</v>
      </c>
      <c r="K165" s="56">
        <v>65560</v>
      </c>
      <c r="L165" s="57">
        <v>1</v>
      </c>
    </row>
    <row r="166" spans="1:12" ht="15" x14ac:dyDescent="0.25">
      <c r="A166" s="42" t="s">
        <v>558</v>
      </c>
      <c r="B166" s="49" t="s">
        <v>285</v>
      </c>
      <c r="C166" s="42" t="s">
        <v>417</v>
      </c>
      <c r="D166" s="75">
        <v>425598783</v>
      </c>
      <c r="E166" s="76">
        <v>9191559081</v>
      </c>
      <c r="F166" s="42" t="s">
        <v>261</v>
      </c>
      <c r="G166" s="84">
        <v>35070</v>
      </c>
      <c r="H166" s="108" t="str">
        <f>CHOOSE(MONTH(G166),"January","February","March","April","May","June","July","August","September","October","November","December")</f>
        <v>January</v>
      </c>
      <c r="I166" s="54">
        <f ca="1">DATEDIF(G166,TODAY(),"Y")</f>
        <v>20</v>
      </c>
      <c r="J166" s="55" t="s">
        <v>276</v>
      </c>
      <c r="K166" s="56">
        <v>21220</v>
      </c>
      <c r="L166" s="57">
        <v>3</v>
      </c>
    </row>
    <row r="167" spans="1:12" ht="15" x14ac:dyDescent="0.25">
      <c r="A167" s="42" t="s">
        <v>583</v>
      </c>
      <c r="B167" s="49" t="s">
        <v>280</v>
      </c>
      <c r="C167" s="42" t="s">
        <v>417</v>
      </c>
      <c r="D167" s="75">
        <v>291841866</v>
      </c>
      <c r="E167" s="76">
        <v>9191534053</v>
      </c>
      <c r="F167" s="42" t="s">
        <v>256</v>
      </c>
      <c r="G167" s="84">
        <v>33872</v>
      </c>
      <c r="H167" s="108" t="str">
        <f>CHOOSE(MONTH(G167),"January","February","March","April","May","June","July","August","September","October","November","December")</f>
        <v>September</v>
      </c>
      <c r="I167" s="54">
        <f ca="1">DATEDIF(G167,TODAY(),"Y")</f>
        <v>24</v>
      </c>
      <c r="J167" s="55" t="s">
        <v>257</v>
      </c>
      <c r="K167" s="56">
        <v>64510</v>
      </c>
      <c r="L167" s="57">
        <v>3</v>
      </c>
    </row>
    <row r="168" spans="1:12" ht="15" x14ac:dyDescent="0.25">
      <c r="A168" s="48" t="s">
        <v>277</v>
      </c>
      <c r="B168" s="49" t="s">
        <v>285</v>
      </c>
      <c r="C168" s="42" t="s">
        <v>417</v>
      </c>
      <c r="D168" s="75">
        <v>659766304</v>
      </c>
      <c r="E168" s="76">
        <v>9195876028</v>
      </c>
      <c r="F168" s="42" t="s">
        <v>256</v>
      </c>
      <c r="G168" s="84">
        <v>35501</v>
      </c>
      <c r="H168" s="108" t="str">
        <f>CHOOSE(MONTH(G168),"January","February","March","April","May","June","July","August","September","October","November","December")</f>
        <v>March</v>
      </c>
      <c r="I168" s="54">
        <f ca="1">DATEDIF(G168,TODAY(),"Y")</f>
        <v>19</v>
      </c>
      <c r="J168" s="55" t="s">
        <v>283</v>
      </c>
      <c r="K168" s="56">
        <v>37750</v>
      </c>
      <c r="L168" s="57">
        <v>5</v>
      </c>
    </row>
    <row r="169" spans="1:12" ht="15" x14ac:dyDescent="0.25">
      <c r="A169" s="42" t="s">
        <v>516</v>
      </c>
      <c r="B169" s="49" t="s">
        <v>245</v>
      </c>
      <c r="C169" s="42" t="s">
        <v>417</v>
      </c>
      <c r="D169" s="75">
        <v>932787692</v>
      </c>
      <c r="E169" s="76">
        <v>2522612740</v>
      </c>
      <c r="F169" s="42" t="s">
        <v>247</v>
      </c>
      <c r="G169" s="84">
        <v>34161</v>
      </c>
      <c r="H169" s="108" t="str">
        <f>CHOOSE(MONTH(G169),"January","February","March","April","May","June","July","August","September","October","November","December")</f>
        <v>July</v>
      </c>
      <c r="I169" s="54">
        <f ca="1">DATEDIF(G169,TODAY(),"Y")</f>
        <v>23</v>
      </c>
      <c r="J169" s="55"/>
      <c r="K169" s="56">
        <v>64090</v>
      </c>
      <c r="L169" s="57">
        <v>2</v>
      </c>
    </row>
    <row r="170" spans="1:12" ht="15" x14ac:dyDescent="0.25">
      <c r="A170" s="42" t="s">
        <v>969</v>
      </c>
      <c r="B170" s="49" t="s">
        <v>285</v>
      </c>
      <c r="C170" s="42" t="s">
        <v>417</v>
      </c>
      <c r="D170" s="75">
        <v>110184347</v>
      </c>
      <c r="E170" s="76">
        <v>2526166452</v>
      </c>
      <c r="F170" s="42" t="s">
        <v>256</v>
      </c>
      <c r="G170" s="84">
        <v>35253</v>
      </c>
      <c r="H170" s="108" t="str">
        <f>CHOOSE(MONTH(G170),"January","February","March","April","May","June","July","August","September","October","November","December")</f>
        <v>July</v>
      </c>
      <c r="I170" s="54">
        <f ca="1">DATEDIF(G170,TODAY(),"Y")</f>
        <v>20</v>
      </c>
      <c r="J170" s="55" t="s">
        <v>257</v>
      </c>
      <c r="K170" s="56">
        <v>63780</v>
      </c>
      <c r="L170" s="57">
        <v>5</v>
      </c>
    </row>
    <row r="171" spans="1:12" ht="15" x14ac:dyDescent="0.25">
      <c r="A171" s="42" t="s">
        <v>543</v>
      </c>
      <c r="B171" s="49" t="s">
        <v>285</v>
      </c>
      <c r="C171" s="42" t="s">
        <v>417</v>
      </c>
      <c r="D171" s="75">
        <v>393051351</v>
      </c>
      <c r="E171" s="76">
        <v>9197508998</v>
      </c>
      <c r="F171" s="42" t="s">
        <v>261</v>
      </c>
      <c r="G171" s="84">
        <v>35186</v>
      </c>
      <c r="H171" s="108" t="str">
        <f>CHOOSE(MONTH(G171),"January","February","March","April","May","June","July","August","September","October","November","December")</f>
        <v>May</v>
      </c>
      <c r="I171" s="54">
        <f ca="1">DATEDIF(G171,TODAY(),"Y")</f>
        <v>20</v>
      </c>
      <c r="J171" s="55" t="s">
        <v>276</v>
      </c>
      <c r="K171" s="56">
        <v>32835</v>
      </c>
      <c r="L171" s="57">
        <v>2</v>
      </c>
    </row>
    <row r="172" spans="1:12" ht="15" x14ac:dyDescent="0.25">
      <c r="A172" s="42" t="s">
        <v>1027</v>
      </c>
      <c r="B172" s="49" t="s">
        <v>245</v>
      </c>
      <c r="C172" s="42" t="s">
        <v>417</v>
      </c>
      <c r="D172" s="75">
        <v>870601943</v>
      </c>
      <c r="E172" s="76">
        <v>9196097340</v>
      </c>
      <c r="F172" s="42" t="s">
        <v>247</v>
      </c>
      <c r="G172" s="84">
        <v>34761</v>
      </c>
      <c r="H172" s="108" t="str">
        <f>CHOOSE(MONTH(G172),"January","February","March","April","May","June","July","August","September","October","November","December")</f>
        <v>March</v>
      </c>
      <c r="I172" s="54">
        <f ca="1">DATEDIF(G172,TODAY(),"Y")</f>
        <v>21</v>
      </c>
      <c r="J172" s="55"/>
      <c r="K172" s="56">
        <v>45040</v>
      </c>
      <c r="L172" s="57">
        <v>5</v>
      </c>
    </row>
    <row r="173" spans="1:12" ht="15" x14ac:dyDescent="0.25">
      <c r="A173" s="42" t="s">
        <v>784</v>
      </c>
      <c r="B173" s="49" t="s">
        <v>266</v>
      </c>
      <c r="C173" s="42" t="s">
        <v>417</v>
      </c>
      <c r="D173" s="75">
        <v>956291859</v>
      </c>
      <c r="E173" s="76">
        <v>2521156902</v>
      </c>
      <c r="F173" s="42" t="s">
        <v>247</v>
      </c>
      <c r="G173" s="84">
        <v>40259</v>
      </c>
      <c r="H173" s="108" t="str">
        <f>CHOOSE(MONTH(G173),"January","February","March","April","May","June","July","August","September","October","November","December")</f>
        <v>March</v>
      </c>
      <c r="I173" s="54">
        <f ca="1">DATEDIF(G173,TODAY(),"Y")</f>
        <v>6</v>
      </c>
      <c r="J173" s="55"/>
      <c r="K173" s="56">
        <v>45710</v>
      </c>
      <c r="L173" s="57">
        <v>3</v>
      </c>
    </row>
    <row r="174" spans="1:12" ht="15" x14ac:dyDescent="0.25">
      <c r="A174" s="42" t="s">
        <v>822</v>
      </c>
      <c r="B174" s="49" t="s">
        <v>271</v>
      </c>
      <c r="C174" s="42" t="s">
        <v>417</v>
      </c>
      <c r="D174" s="75">
        <v>736688620</v>
      </c>
      <c r="E174" s="76">
        <v>2524562999</v>
      </c>
      <c r="F174" s="42" t="s">
        <v>261</v>
      </c>
      <c r="G174" s="84">
        <v>39768</v>
      </c>
      <c r="H174" s="108" t="str">
        <f>CHOOSE(MONTH(G174),"January","February","March","April","May","June","July","August","September","October","November","December")</f>
        <v>November</v>
      </c>
      <c r="I174" s="54">
        <f ca="1">DATEDIF(G174,TODAY(),"Y")</f>
        <v>7</v>
      </c>
      <c r="J174" s="55" t="s">
        <v>257</v>
      </c>
      <c r="K174" s="56">
        <v>39515</v>
      </c>
      <c r="L174" s="57">
        <v>5</v>
      </c>
    </row>
    <row r="175" spans="1:12" ht="15" x14ac:dyDescent="0.25">
      <c r="A175" s="42" t="s">
        <v>498</v>
      </c>
      <c r="B175" s="49" t="s">
        <v>271</v>
      </c>
      <c r="C175" s="42" t="s">
        <v>417</v>
      </c>
      <c r="D175" s="75">
        <v>503349830</v>
      </c>
      <c r="E175" s="76">
        <v>9191999230</v>
      </c>
      <c r="F175" s="42" t="s">
        <v>256</v>
      </c>
      <c r="G175" s="84">
        <v>33405</v>
      </c>
      <c r="H175" s="108" t="str">
        <f>CHOOSE(MONTH(G175),"January","February","March","April","May","June","July","August","September","October","November","December")</f>
        <v>June</v>
      </c>
      <c r="I175" s="54">
        <f ca="1">DATEDIF(G175,TODAY(),"Y")</f>
        <v>25</v>
      </c>
      <c r="J175" s="55" t="s">
        <v>283</v>
      </c>
      <c r="K175" s="56">
        <v>32140</v>
      </c>
      <c r="L175" s="57">
        <v>2</v>
      </c>
    </row>
    <row r="176" spans="1:12" ht="15" x14ac:dyDescent="0.25">
      <c r="A176" s="42" t="s">
        <v>363</v>
      </c>
      <c r="B176" s="49" t="s">
        <v>280</v>
      </c>
      <c r="C176" s="42" t="s">
        <v>417</v>
      </c>
      <c r="D176" s="75">
        <v>171868795</v>
      </c>
      <c r="E176" s="76">
        <v>9194323329</v>
      </c>
      <c r="F176" s="42" t="s">
        <v>256</v>
      </c>
      <c r="G176" s="84">
        <v>33079</v>
      </c>
      <c r="H176" s="108" t="str">
        <f>CHOOSE(MONTH(G176),"January","February","March","April","May","June","July","August","September","October","November","December")</f>
        <v>July</v>
      </c>
      <c r="I176" s="54">
        <f ca="1">DATEDIF(G176,TODAY(),"Y")</f>
        <v>26</v>
      </c>
      <c r="J176" s="55" t="s">
        <v>276</v>
      </c>
      <c r="K176" s="56">
        <v>32360</v>
      </c>
      <c r="L176" s="57">
        <v>4</v>
      </c>
    </row>
    <row r="177" spans="1:12" ht="15" x14ac:dyDescent="0.25">
      <c r="A177" s="42" t="s">
        <v>753</v>
      </c>
      <c r="B177" s="49" t="s">
        <v>271</v>
      </c>
      <c r="C177" s="42" t="s">
        <v>417</v>
      </c>
      <c r="D177" s="75">
        <v>707553376</v>
      </c>
      <c r="E177" s="76">
        <v>9194194193</v>
      </c>
      <c r="F177" s="42" t="s">
        <v>256</v>
      </c>
      <c r="G177" s="84">
        <v>35084</v>
      </c>
      <c r="H177" s="108" t="str">
        <f>CHOOSE(MONTH(G177),"January","February","March","April","May","June","July","August","September","October","November","December")</f>
        <v>January</v>
      </c>
      <c r="I177" s="54">
        <f ca="1">DATEDIF(G177,TODAY(),"Y")</f>
        <v>20</v>
      </c>
      <c r="J177" s="55" t="s">
        <v>276</v>
      </c>
      <c r="K177" s="56">
        <v>49260</v>
      </c>
      <c r="L177" s="57">
        <v>3</v>
      </c>
    </row>
    <row r="178" spans="1:12" ht="15" x14ac:dyDescent="0.25">
      <c r="A178" s="48" t="s">
        <v>265</v>
      </c>
      <c r="B178" s="49" t="s">
        <v>271</v>
      </c>
      <c r="C178" s="42" t="s">
        <v>417</v>
      </c>
      <c r="D178" s="75">
        <v>622274162</v>
      </c>
      <c r="E178" s="76">
        <v>9191264786</v>
      </c>
      <c r="F178" s="42" t="s">
        <v>247</v>
      </c>
      <c r="G178" s="84">
        <v>34771</v>
      </c>
      <c r="H178" s="108" t="str">
        <f>CHOOSE(MONTH(G178),"January","February","March","April","May","June","July","August","September","October","November","December")</f>
        <v>March</v>
      </c>
      <c r="I178" s="54">
        <f ca="1">DATEDIF(G178,TODAY(),"Y")</f>
        <v>21</v>
      </c>
      <c r="J178" s="55"/>
      <c r="K178" s="56">
        <v>26360</v>
      </c>
      <c r="L178" s="57">
        <v>4</v>
      </c>
    </row>
    <row r="179" spans="1:12" ht="15" x14ac:dyDescent="0.25">
      <c r="A179" s="42" t="s">
        <v>668</v>
      </c>
      <c r="B179" s="49" t="s">
        <v>251</v>
      </c>
      <c r="C179" s="42" t="s">
        <v>417</v>
      </c>
      <c r="D179" s="75">
        <v>281005046</v>
      </c>
      <c r="E179" s="76">
        <v>2527051004</v>
      </c>
      <c r="F179" s="42" t="s">
        <v>247</v>
      </c>
      <c r="G179" s="84">
        <v>40054</v>
      </c>
      <c r="H179" s="108" t="str">
        <f>CHOOSE(MONTH(G179),"January","February","March","April","May","June","July","August","September","October","November","December")</f>
        <v>August</v>
      </c>
      <c r="I179" s="54">
        <f ca="1">DATEDIF(G179,TODAY(),"Y")</f>
        <v>7</v>
      </c>
      <c r="J179" s="55"/>
      <c r="K179" s="56">
        <v>56920</v>
      </c>
      <c r="L179" s="57">
        <v>4</v>
      </c>
    </row>
    <row r="180" spans="1:12" ht="15" x14ac:dyDescent="0.25">
      <c r="A180" s="42" t="s">
        <v>997</v>
      </c>
      <c r="B180" s="49" t="s">
        <v>271</v>
      </c>
      <c r="C180" s="42" t="s">
        <v>417</v>
      </c>
      <c r="D180" s="75">
        <v>571821715</v>
      </c>
      <c r="E180" s="76">
        <v>2527102355</v>
      </c>
      <c r="F180" s="42" t="s">
        <v>256</v>
      </c>
      <c r="G180" s="84">
        <v>35605</v>
      </c>
      <c r="H180" s="108" t="str">
        <f>CHOOSE(MONTH(G180),"January","February","March","April","May","June","July","August","September","October","November","December")</f>
        <v>June</v>
      </c>
      <c r="I180" s="54">
        <f ca="1">DATEDIF(G180,TODAY(),"Y")</f>
        <v>19</v>
      </c>
      <c r="J180" s="55" t="s">
        <v>283</v>
      </c>
      <c r="K180" s="56">
        <v>56870</v>
      </c>
      <c r="L180" s="57">
        <v>1</v>
      </c>
    </row>
    <row r="181" spans="1:12" ht="15" x14ac:dyDescent="0.25">
      <c r="A181" s="42" t="s">
        <v>506</v>
      </c>
      <c r="B181" s="49" t="s">
        <v>285</v>
      </c>
      <c r="C181" s="42" t="s">
        <v>417</v>
      </c>
      <c r="D181" s="75">
        <v>536516131</v>
      </c>
      <c r="E181" s="76">
        <v>2524442207</v>
      </c>
      <c r="F181" s="42" t="s">
        <v>256</v>
      </c>
      <c r="G181" s="84">
        <v>40470</v>
      </c>
      <c r="H181" s="108" t="str">
        <f>CHOOSE(MONTH(G181),"January","February","March","April","May","June","July","August","September","October","November","December")</f>
        <v>October</v>
      </c>
      <c r="I181" s="54">
        <f ca="1">DATEDIF(G181,TODAY(),"Y")</f>
        <v>6</v>
      </c>
      <c r="J181" s="55" t="s">
        <v>283</v>
      </c>
      <c r="K181" s="56">
        <v>42620</v>
      </c>
      <c r="L181" s="57">
        <v>3</v>
      </c>
    </row>
    <row r="182" spans="1:12" ht="15" x14ac:dyDescent="0.25">
      <c r="A182" s="42" t="s">
        <v>544</v>
      </c>
      <c r="B182" s="49" t="s">
        <v>251</v>
      </c>
      <c r="C182" s="42" t="s">
        <v>417</v>
      </c>
      <c r="D182" s="75">
        <v>993867417</v>
      </c>
      <c r="E182" s="76">
        <v>2522338778</v>
      </c>
      <c r="F182" s="42" t="s">
        <v>256</v>
      </c>
      <c r="G182" s="84">
        <v>33923</v>
      </c>
      <c r="H182" s="108" t="str">
        <f>CHOOSE(MONTH(G182),"January","February","March","April","May","June","July","August","September","October","November","December")</f>
        <v>November</v>
      </c>
      <c r="I182" s="54">
        <f ca="1">DATEDIF(G182,TODAY(),"Y")</f>
        <v>23</v>
      </c>
      <c r="J182" s="55" t="s">
        <v>283</v>
      </c>
      <c r="K182" s="56">
        <v>46340</v>
      </c>
      <c r="L182" s="57">
        <v>5</v>
      </c>
    </row>
    <row r="183" spans="1:12" ht="15" x14ac:dyDescent="0.25">
      <c r="A183" s="42" t="s">
        <v>1024</v>
      </c>
      <c r="B183" s="49" t="s">
        <v>285</v>
      </c>
      <c r="C183" s="42" t="s">
        <v>417</v>
      </c>
      <c r="D183" s="75">
        <v>661397587</v>
      </c>
      <c r="E183" s="76">
        <v>9196126835</v>
      </c>
      <c r="F183" s="42" t="s">
        <v>247</v>
      </c>
      <c r="G183" s="84">
        <v>34912</v>
      </c>
      <c r="H183" s="108" t="str">
        <f>CHOOSE(MONTH(G183),"January","February","March","April","May","June","July","August","September","October","November","December")</f>
        <v>August</v>
      </c>
      <c r="I183" s="54">
        <f ca="1">DATEDIF(G183,TODAY(),"Y")</f>
        <v>21</v>
      </c>
      <c r="J183" s="55"/>
      <c r="K183" s="56">
        <v>40560</v>
      </c>
      <c r="L183" s="57">
        <v>5</v>
      </c>
    </row>
    <row r="184" spans="1:12" ht="15" x14ac:dyDescent="0.25">
      <c r="A184" s="42" t="s">
        <v>490</v>
      </c>
      <c r="B184" s="49" t="s">
        <v>271</v>
      </c>
      <c r="C184" s="42" t="s">
        <v>417</v>
      </c>
      <c r="D184" s="75">
        <v>407299017</v>
      </c>
      <c r="E184" s="76">
        <v>9195968632</v>
      </c>
      <c r="F184" s="42" t="s">
        <v>252</v>
      </c>
      <c r="G184" s="84">
        <v>39893</v>
      </c>
      <c r="H184" s="108" t="str">
        <f>CHOOSE(MONTH(G184),"January","February","March","April","May","June","July","August","September","October","November","December")</f>
        <v>March</v>
      </c>
      <c r="I184" s="54">
        <f ca="1">DATEDIF(G184,TODAY(),"Y")</f>
        <v>7</v>
      </c>
      <c r="J184" s="55"/>
      <c r="K184" s="56">
        <v>15744</v>
      </c>
      <c r="L184" s="57">
        <v>3</v>
      </c>
    </row>
    <row r="185" spans="1:12" ht="15" x14ac:dyDescent="0.25">
      <c r="A185" s="42"/>
      <c r="B185" s="49"/>
      <c r="C185" s="114"/>
      <c r="D185" s="75"/>
      <c r="E185" s="76"/>
      <c r="F185" s="42"/>
      <c r="G185" s="84"/>
      <c r="H185" s="108"/>
      <c r="I185" s="54"/>
      <c r="J185" s="55"/>
      <c r="K185" s="56"/>
      <c r="L185" s="57"/>
    </row>
    <row r="186" spans="1:12" ht="15" x14ac:dyDescent="0.25">
      <c r="A186" s="42" t="s">
        <v>532</v>
      </c>
      <c r="B186" s="49" t="s">
        <v>271</v>
      </c>
      <c r="C186" s="42" t="s">
        <v>456</v>
      </c>
      <c r="D186" s="75">
        <v>244171882</v>
      </c>
      <c r="E186" s="76">
        <v>2527577867</v>
      </c>
      <c r="F186" s="42" t="s">
        <v>261</v>
      </c>
      <c r="G186" s="84">
        <v>34401</v>
      </c>
      <c r="H186" s="108" t="str">
        <f>CHOOSE(MONTH(G186),"January","February","March","April","May","June","July","August","September","October","November","December")</f>
        <v>March</v>
      </c>
      <c r="I186" s="54">
        <f ca="1">DATEDIF(G186,TODAY(),"Y")</f>
        <v>22</v>
      </c>
      <c r="J186" s="55" t="s">
        <v>267</v>
      </c>
      <c r="K186" s="56">
        <v>89780</v>
      </c>
      <c r="L186" s="57">
        <v>4</v>
      </c>
    </row>
    <row r="187" spans="1:12" ht="15" x14ac:dyDescent="0.25">
      <c r="A187" s="42" t="s">
        <v>495</v>
      </c>
      <c r="B187" s="49" t="s">
        <v>271</v>
      </c>
      <c r="C187" s="42" t="s">
        <v>456</v>
      </c>
      <c r="D187" s="75">
        <v>861884260</v>
      </c>
      <c r="E187" s="76">
        <v>9196632360</v>
      </c>
      <c r="F187" s="42" t="s">
        <v>256</v>
      </c>
      <c r="G187" s="84">
        <v>33385</v>
      </c>
      <c r="H187" s="108" t="str">
        <f>CHOOSE(MONTH(G187),"January","February","March","April","May","June","July","August","September","October","November","December")</f>
        <v>May</v>
      </c>
      <c r="I187" s="54">
        <f ca="1">DATEDIF(G187,TODAY(),"Y")</f>
        <v>25</v>
      </c>
      <c r="J187" s="55" t="s">
        <v>257</v>
      </c>
      <c r="K187" s="56">
        <v>89140</v>
      </c>
      <c r="L187" s="57">
        <v>1</v>
      </c>
    </row>
    <row r="188" spans="1:12" ht="15" x14ac:dyDescent="0.25">
      <c r="A188" s="42" t="s">
        <v>671</v>
      </c>
      <c r="B188" s="49" t="s">
        <v>285</v>
      </c>
      <c r="C188" s="42" t="s">
        <v>456</v>
      </c>
      <c r="D188" s="75">
        <v>771953685</v>
      </c>
      <c r="E188" s="76">
        <v>2526739978</v>
      </c>
      <c r="F188" s="42" t="s">
        <v>252</v>
      </c>
      <c r="G188" s="84">
        <v>37946</v>
      </c>
      <c r="H188" s="108" t="str">
        <f>CHOOSE(MONTH(G188),"January","February","March","April","May","June","July","August","September","October","November","December")</f>
        <v>November</v>
      </c>
      <c r="I188" s="54">
        <f ca="1">DATEDIF(G188,TODAY(),"Y")</f>
        <v>12</v>
      </c>
      <c r="J188" s="55" t="s">
        <v>257</v>
      </c>
      <c r="K188" s="56">
        <v>85130</v>
      </c>
      <c r="L188" s="57">
        <v>5</v>
      </c>
    </row>
    <row r="189" spans="1:12" ht="15" x14ac:dyDescent="0.25">
      <c r="A189" s="42" t="s">
        <v>412</v>
      </c>
      <c r="B189" s="49" t="s">
        <v>251</v>
      </c>
      <c r="C189" s="42" t="s">
        <v>456</v>
      </c>
      <c r="D189" s="75">
        <v>117896630</v>
      </c>
      <c r="E189" s="76">
        <v>9197173558</v>
      </c>
      <c r="F189" s="42" t="s">
        <v>247</v>
      </c>
      <c r="G189" s="84">
        <v>40263</v>
      </c>
      <c r="H189" s="108" t="str">
        <f>CHOOSE(MONTH(G189),"January","February","March","April","May","June","July","August","September","October","November","December")</f>
        <v>March</v>
      </c>
      <c r="I189" s="54">
        <f ca="1">DATEDIF(G189,TODAY(),"Y")</f>
        <v>6</v>
      </c>
      <c r="J189" s="55" t="s">
        <v>267</v>
      </c>
      <c r="K189" s="56">
        <v>71190</v>
      </c>
      <c r="L189" s="57">
        <v>4</v>
      </c>
    </row>
    <row r="190" spans="1:12" ht="15" x14ac:dyDescent="0.25">
      <c r="A190" s="42" t="s">
        <v>860</v>
      </c>
      <c r="B190" s="49" t="s">
        <v>280</v>
      </c>
      <c r="C190" s="42" t="s">
        <v>456</v>
      </c>
      <c r="D190" s="75">
        <v>477110649</v>
      </c>
      <c r="E190" s="76">
        <v>9191351512</v>
      </c>
      <c r="F190" s="42" t="s">
        <v>256</v>
      </c>
      <c r="G190" s="84">
        <v>37043</v>
      </c>
      <c r="H190" s="108" t="str">
        <f>CHOOSE(MONTH(G190),"January","February","March","April","May","June","July","August","September","October","November","December")</f>
        <v>June</v>
      </c>
      <c r="I190" s="54">
        <f ca="1">DATEDIF(G190,TODAY(),"Y")</f>
        <v>15</v>
      </c>
      <c r="J190" s="55" t="s">
        <v>262</v>
      </c>
      <c r="K190" s="56">
        <v>45150</v>
      </c>
      <c r="L190" s="57">
        <v>1</v>
      </c>
    </row>
    <row r="191" spans="1:12" ht="15" x14ac:dyDescent="0.25">
      <c r="A191" s="42" t="s">
        <v>698</v>
      </c>
      <c r="B191" s="49" t="s">
        <v>280</v>
      </c>
      <c r="C191" s="42" t="s">
        <v>456</v>
      </c>
      <c r="D191" s="75">
        <v>746497232</v>
      </c>
      <c r="E191" s="76">
        <v>9196681578</v>
      </c>
      <c r="F191" s="42" t="s">
        <v>247</v>
      </c>
      <c r="G191" s="84">
        <v>36673</v>
      </c>
      <c r="H191" s="108" t="str">
        <f>CHOOSE(MONTH(G191),"January","February","March","April","May","June","July","August","September","October","November","December")</f>
        <v>May</v>
      </c>
      <c r="I191" s="54">
        <f ca="1">DATEDIF(G191,TODAY(),"Y")</f>
        <v>16</v>
      </c>
      <c r="J191" s="55" t="s">
        <v>283</v>
      </c>
      <c r="K191" s="56">
        <v>69410</v>
      </c>
      <c r="L191" s="57">
        <v>4</v>
      </c>
    </row>
    <row r="192" spans="1:12" ht="15" x14ac:dyDescent="0.25">
      <c r="A192" s="42" t="s">
        <v>511</v>
      </c>
      <c r="B192" s="49" t="s">
        <v>271</v>
      </c>
      <c r="C192" s="42" t="s">
        <v>456</v>
      </c>
      <c r="D192" s="75">
        <v>351268538</v>
      </c>
      <c r="E192" s="76">
        <v>2525610944</v>
      </c>
      <c r="F192" s="42" t="s">
        <v>252</v>
      </c>
      <c r="G192" s="84">
        <v>36519</v>
      </c>
      <c r="H192" s="108" t="str">
        <f>CHOOSE(MONTH(G192),"January","February","March","April","May","June","July","August","September","October","November","December")</f>
        <v>December</v>
      </c>
      <c r="I192" s="54">
        <f ca="1">DATEDIF(G192,TODAY(),"Y")</f>
        <v>16</v>
      </c>
      <c r="J192" s="55" t="s">
        <v>283</v>
      </c>
      <c r="K192" s="56">
        <v>61860</v>
      </c>
      <c r="L192" s="57">
        <v>5</v>
      </c>
    </row>
    <row r="193" spans="1:12" ht="15" x14ac:dyDescent="0.25">
      <c r="A193" s="42" t="s">
        <v>821</v>
      </c>
      <c r="B193" s="49" t="s">
        <v>285</v>
      </c>
      <c r="C193" s="42" t="s">
        <v>456</v>
      </c>
      <c r="D193" s="75">
        <v>875920441</v>
      </c>
      <c r="E193" s="76">
        <v>9191715499</v>
      </c>
      <c r="F193" s="42" t="s">
        <v>261</v>
      </c>
      <c r="G193" s="84">
        <v>37505</v>
      </c>
      <c r="H193" s="108" t="str">
        <f>CHOOSE(MONTH(G193),"January","February","March","April","May","June","July","August","September","October","November","December")</f>
        <v>September</v>
      </c>
      <c r="I193" s="54">
        <f ca="1">DATEDIF(G193,TODAY(),"Y")</f>
        <v>14</v>
      </c>
      <c r="J193" s="55" t="s">
        <v>276</v>
      </c>
      <c r="K193" s="56">
        <v>51800</v>
      </c>
      <c r="L193" s="57">
        <v>1</v>
      </c>
    </row>
    <row r="194" spans="1:12" ht="15" x14ac:dyDescent="0.25">
      <c r="A194" s="42"/>
      <c r="B194" s="49"/>
      <c r="C194" s="114"/>
      <c r="D194" s="75"/>
      <c r="E194" s="76"/>
      <c r="F194" s="42"/>
      <c r="G194" s="84"/>
      <c r="H194" s="108"/>
      <c r="I194" s="54"/>
      <c r="J194" s="55"/>
      <c r="K194" s="56"/>
      <c r="L194" s="57"/>
    </row>
    <row r="195" spans="1:12" ht="15" x14ac:dyDescent="0.25">
      <c r="A195" s="42" t="s">
        <v>1003</v>
      </c>
      <c r="B195" s="49" t="s">
        <v>285</v>
      </c>
      <c r="C195" s="42" t="s">
        <v>465</v>
      </c>
      <c r="D195" s="75">
        <v>618535019</v>
      </c>
      <c r="E195" s="76">
        <v>9193695179</v>
      </c>
      <c r="F195" s="42" t="s">
        <v>256</v>
      </c>
      <c r="G195" s="84">
        <v>35932</v>
      </c>
      <c r="H195" s="108" t="str">
        <f>CHOOSE(MONTH(G195),"January","February","March","April","May","June","July","August","September","October","November","December")</f>
        <v>May</v>
      </c>
      <c r="I195" s="54">
        <f ca="1">DATEDIF(G195,TODAY(),"Y")</f>
        <v>18</v>
      </c>
      <c r="J195" s="55" t="s">
        <v>283</v>
      </c>
      <c r="K195" s="56">
        <v>89740</v>
      </c>
      <c r="L195" s="57">
        <v>5</v>
      </c>
    </row>
    <row r="196" spans="1:12" ht="15" x14ac:dyDescent="0.25">
      <c r="A196" s="42" t="s">
        <v>897</v>
      </c>
      <c r="B196" s="49" t="s">
        <v>285</v>
      </c>
      <c r="C196" s="42" t="s">
        <v>465</v>
      </c>
      <c r="D196" s="75">
        <v>130619578</v>
      </c>
      <c r="E196" s="76">
        <v>9195057530</v>
      </c>
      <c r="F196" s="42" t="s">
        <v>247</v>
      </c>
      <c r="G196" s="84">
        <v>36718</v>
      </c>
      <c r="H196" s="108" t="str">
        <f>CHOOSE(MONTH(G196),"January","February","March","April","May","June","July","August","September","October","November","December")</f>
        <v>July</v>
      </c>
      <c r="I196" s="54">
        <f ca="1">DATEDIF(G196,TODAY(),"Y")</f>
        <v>16</v>
      </c>
      <c r="J196" s="55"/>
      <c r="K196" s="56">
        <v>89520</v>
      </c>
      <c r="L196" s="57">
        <v>5</v>
      </c>
    </row>
    <row r="197" spans="1:12" ht="15" x14ac:dyDescent="0.25">
      <c r="A197" s="42" t="s">
        <v>904</v>
      </c>
      <c r="B197" s="49" t="s">
        <v>285</v>
      </c>
      <c r="C197" s="42" t="s">
        <v>465</v>
      </c>
      <c r="D197" s="75">
        <v>920477476</v>
      </c>
      <c r="E197" s="76">
        <v>2523162442</v>
      </c>
      <c r="F197" s="42" t="s">
        <v>247</v>
      </c>
      <c r="G197" s="84">
        <v>35185</v>
      </c>
      <c r="H197" s="108" t="str">
        <f>CHOOSE(MONTH(G197),"January","February","March","April","May","June","July","August","September","October","November","December")</f>
        <v>April</v>
      </c>
      <c r="I197" s="54">
        <f ca="1">DATEDIF(G197,TODAY(),"Y")</f>
        <v>20</v>
      </c>
      <c r="J197" s="55"/>
      <c r="K197" s="56">
        <v>24410</v>
      </c>
      <c r="L197" s="57">
        <v>3</v>
      </c>
    </row>
    <row r="198" spans="1:12" ht="15" x14ac:dyDescent="0.25">
      <c r="A198" s="42" t="s">
        <v>633</v>
      </c>
      <c r="B198" s="49" t="s">
        <v>285</v>
      </c>
      <c r="C198" s="42" t="s">
        <v>465</v>
      </c>
      <c r="D198" s="75">
        <v>876777922</v>
      </c>
      <c r="E198" s="76">
        <v>2527358099</v>
      </c>
      <c r="F198" s="42" t="s">
        <v>247</v>
      </c>
      <c r="G198" s="106">
        <v>40449</v>
      </c>
      <c r="H198" s="108" t="str">
        <f>CHOOSE(MONTH(G198),"January","February","March","April","May","June","July","August","September","October","November","December")</f>
        <v>September</v>
      </c>
      <c r="I198" s="54">
        <f ca="1">DATEDIF(G198,TODAY(),"Y")</f>
        <v>6</v>
      </c>
      <c r="J198" s="55"/>
      <c r="K198" s="56">
        <v>88840</v>
      </c>
      <c r="L198" s="57">
        <v>5</v>
      </c>
    </row>
    <row r="199" spans="1:12" ht="15" x14ac:dyDescent="0.25">
      <c r="A199" s="42" t="s">
        <v>755</v>
      </c>
      <c r="B199" s="49" t="s">
        <v>271</v>
      </c>
      <c r="C199" s="42" t="s">
        <v>465</v>
      </c>
      <c r="D199" s="75">
        <v>462995574</v>
      </c>
      <c r="E199" s="76">
        <v>2523431009</v>
      </c>
      <c r="F199" s="42" t="s">
        <v>256</v>
      </c>
      <c r="G199" s="84">
        <v>36101</v>
      </c>
      <c r="H199" s="108" t="str">
        <f>CHOOSE(MONTH(G199),"January","February","March","April","May","June","July","August","September","October","November","December")</f>
        <v>November</v>
      </c>
      <c r="I199" s="54">
        <f ca="1">DATEDIF(G199,TODAY(),"Y")</f>
        <v>18</v>
      </c>
      <c r="J199" s="55" t="s">
        <v>257</v>
      </c>
      <c r="K199" s="56">
        <v>88240</v>
      </c>
      <c r="L199" s="57">
        <v>5</v>
      </c>
    </row>
    <row r="200" spans="1:12" ht="15" x14ac:dyDescent="0.25">
      <c r="A200" s="42" t="s">
        <v>320</v>
      </c>
      <c r="B200" s="49" t="s">
        <v>285</v>
      </c>
      <c r="C200" s="42" t="s">
        <v>465</v>
      </c>
      <c r="D200" s="75">
        <v>564908088</v>
      </c>
      <c r="E200" s="76">
        <v>9193386758</v>
      </c>
      <c r="F200" s="42" t="s">
        <v>256</v>
      </c>
      <c r="G200" s="84">
        <v>38377</v>
      </c>
      <c r="H200" s="108" t="str">
        <f>CHOOSE(MONTH(G200),"January","February","March","April","May","June","July","August","September","October","November","December")</f>
        <v>January</v>
      </c>
      <c r="I200" s="54">
        <f ca="1">DATEDIF(G200,TODAY(),"Y")</f>
        <v>11</v>
      </c>
      <c r="J200" s="55" t="s">
        <v>257</v>
      </c>
      <c r="K200" s="56">
        <v>87760</v>
      </c>
      <c r="L200" s="57">
        <v>1</v>
      </c>
    </row>
    <row r="201" spans="1:12" ht="15" x14ac:dyDescent="0.25">
      <c r="A201" s="42" t="s">
        <v>325</v>
      </c>
      <c r="B201" s="49" t="s">
        <v>271</v>
      </c>
      <c r="C201" s="42" t="s">
        <v>465</v>
      </c>
      <c r="D201" s="75">
        <v>984570981</v>
      </c>
      <c r="E201" s="76">
        <v>2528155179</v>
      </c>
      <c r="F201" s="42" t="s">
        <v>261</v>
      </c>
      <c r="G201" s="84">
        <v>36269</v>
      </c>
      <c r="H201" s="108" t="str">
        <f>CHOOSE(MONTH(G201),"January","February","March","April","May","June","July","August","September","October","November","December")</f>
        <v>April</v>
      </c>
      <c r="I201" s="54">
        <f ca="1">DATEDIF(G201,TODAY(),"Y")</f>
        <v>17</v>
      </c>
      <c r="J201" s="55" t="s">
        <v>283</v>
      </c>
      <c r="K201" s="56">
        <v>48190</v>
      </c>
      <c r="L201" s="57">
        <v>1</v>
      </c>
    </row>
    <row r="202" spans="1:12" ht="15" x14ac:dyDescent="0.25">
      <c r="A202" s="42" t="s">
        <v>662</v>
      </c>
      <c r="B202" s="49" t="s">
        <v>285</v>
      </c>
      <c r="C202" s="42" t="s">
        <v>465</v>
      </c>
      <c r="D202" s="75">
        <v>594680949</v>
      </c>
      <c r="E202" s="76">
        <v>9192375580</v>
      </c>
      <c r="F202" s="42" t="s">
        <v>261</v>
      </c>
      <c r="G202" s="84">
        <v>36422</v>
      </c>
      <c r="H202" s="108" t="str">
        <f>CHOOSE(MONTH(G202),"January","February","March","April","May","June","July","August","September","October","November","December")</f>
        <v>September</v>
      </c>
      <c r="I202" s="54">
        <f ca="1">DATEDIF(G202,TODAY(),"Y")</f>
        <v>17</v>
      </c>
      <c r="J202" s="55" t="s">
        <v>283</v>
      </c>
      <c r="K202" s="56">
        <v>17270</v>
      </c>
      <c r="L202" s="57">
        <v>5</v>
      </c>
    </row>
    <row r="203" spans="1:12" ht="15" x14ac:dyDescent="0.25">
      <c r="A203" s="42" t="s">
        <v>970</v>
      </c>
      <c r="B203" s="49" t="s">
        <v>271</v>
      </c>
      <c r="C203" s="42" t="s">
        <v>465</v>
      </c>
      <c r="D203" s="75">
        <v>371001908</v>
      </c>
      <c r="E203" s="76">
        <v>2527061632</v>
      </c>
      <c r="F203" s="42" t="s">
        <v>256</v>
      </c>
      <c r="G203" s="84">
        <v>35356</v>
      </c>
      <c r="H203" s="108" t="str">
        <f>CHOOSE(MONTH(G203),"January","February","March","April","May","June","July","August","September","October","November","December")</f>
        <v>October</v>
      </c>
      <c r="I203" s="54">
        <f ca="1">DATEDIF(G203,TODAY(),"Y")</f>
        <v>20</v>
      </c>
      <c r="J203" s="55" t="s">
        <v>262</v>
      </c>
      <c r="K203" s="56">
        <v>45480</v>
      </c>
      <c r="L203" s="57">
        <v>4</v>
      </c>
    </row>
    <row r="204" spans="1:12" ht="15" x14ac:dyDescent="0.25">
      <c r="A204" s="42" t="s">
        <v>992</v>
      </c>
      <c r="B204" s="49" t="s">
        <v>271</v>
      </c>
      <c r="C204" s="42" t="s">
        <v>465</v>
      </c>
      <c r="D204" s="75">
        <v>962553692</v>
      </c>
      <c r="E204" s="76">
        <v>9196689962</v>
      </c>
      <c r="F204" s="42" t="s">
        <v>256</v>
      </c>
      <c r="G204" s="84">
        <v>35156</v>
      </c>
      <c r="H204" s="108" t="str">
        <f>CHOOSE(MONTH(G204),"January","February","March","April","May","June","July","August","September","October","November","December")</f>
        <v>April</v>
      </c>
      <c r="I204" s="54">
        <f ca="1">DATEDIF(G204,TODAY(),"Y")</f>
        <v>20</v>
      </c>
      <c r="J204" s="55" t="s">
        <v>283</v>
      </c>
      <c r="K204" s="56">
        <v>86260</v>
      </c>
      <c r="L204" s="57">
        <v>3</v>
      </c>
    </row>
    <row r="205" spans="1:12" ht="15" x14ac:dyDescent="0.25">
      <c r="A205" s="42" t="s">
        <v>377</v>
      </c>
      <c r="B205" s="49" t="s">
        <v>285</v>
      </c>
      <c r="C205" s="42" t="s">
        <v>465</v>
      </c>
      <c r="D205" s="75">
        <v>276980518</v>
      </c>
      <c r="E205" s="76">
        <v>9195267252</v>
      </c>
      <c r="F205" s="42" t="s">
        <v>256</v>
      </c>
      <c r="G205" s="84">
        <v>38832</v>
      </c>
      <c r="H205" s="108" t="str">
        <f>CHOOSE(MONTH(G205),"January","February","March","April","May","June","July","August","September","October","November","December")</f>
        <v>April</v>
      </c>
      <c r="I205" s="54">
        <f ca="1">DATEDIF(G205,TODAY(),"Y")</f>
        <v>10</v>
      </c>
      <c r="J205" s="55" t="s">
        <v>276</v>
      </c>
      <c r="K205" s="56">
        <v>29420</v>
      </c>
      <c r="L205" s="57">
        <v>5</v>
      </c>
    </row>
    <row r="206" spans="1:12" ht="15" x14ac:dyDescent="0.25">
      <c r="A206" s="42" t="s">
        <v>818</v>
      </c>
      <c r="B206" s="49" t="s">
        <v>280</v>
      </c>
      <c r="C206" s="42" t="s">
        <v>465</v>
      </c>
      <c r="D206" s="75">
        <v>620336005</v>
      </c>
      <c r="E206" s="76">
        <v>9196422185</v>
      </c>
      <c r="F206" s="42" t="s">
        <v>256</v>
      </c>
      <c r="G206" s="84">
        <v>38377</v>
      </c>
      <c r="H206" s="108" t="str">
        <f>CHOOSE(MONTH(G206),"January","February","March","April","May","June","July","August","September","October","November","December")</f>
        <v>January</v>
      </c>
      <c r="I206" s="54">
        <f ca="1">DATEDIF(G206,TODAY(),"Y")</f>
        <v>11</v>
      </c>
      <c r="J206" s="55" t="s">
        <v>257</v>
      </c>
      <c r="K206" s="56">
        <v>41060</v>
      </c>
      <c r="L206" s="57">
        <v>3</v>
      </c>
    </row>
    <row r="207" spans="1:12" ht="15" x14ac:dyDescent="0.25">
      <c r="A207" s="42" t="s">
        <v>1014</v>
      </c>
      <c r="B207" s="49" t="s">
        <v>271</v>
      </c>
      <c r="C207" s="42" t="s">
        <v>465</v>
      </c>
      <c r="D207" s="75">
        <v>829216164</v>
      </c>
      <c r="E207" s="76">
        <v>2524982487</v>
      </c>
      <c r="F207" s="42" t="s">
        <v>247</v>
      </c>
      <c r="G207" s="84">
        <v>39545</v>
      </c>
      <c r="H207" s="108" t="str">
        <f>CHOOSE(MONTH(G207),"January","February","March","April","May","June","July","August","September","October","November","December")</f>
        <v>April</v>
      </c>
      <c r="I207" s="54">
        <f ca="1">DATEDIF(G207,TODAY(),"Y")</f>
        <v>8</v>
      </c>
      <c r="J207" s="55"/>
      <c r="K207" s="56">
        <v>84170</v>
      </c>
      <c r="L207" s="57">
        <v>2</v>
      </c>
    </row>
    <row r="208" spans="1:12" ht="15" x14ac:dyDescent="0.25">
      <c r="A208" s="42" t="s">
        <v>396</v>
      </c>
      <c r="B208" s="49" t="s">
        <v>271</v>
      </c>
      <c r="C208" s="42" t="s">
        <v>465</v>
      </c>
      <c r="D208" s="75">
        <v>910964196</v>
      </c>
      <c r="E208" s="76">
        <v>9194361873</v>
      </c>
      <c r="F208" s="42" t="s">
        <v>247</v>
      </c>
      <c r="G208" s="84">
        <v>33819</v>
      </c>
      <c r="H208" s="108" t="str">
        <f>CHOOSE(MONTH(G208),"January","February","March","April","May","June","July","August","September","October","November","December")</f>
        <v>August</v>
      </c>
      <c r="I208" s="54">
        <f ca="1">DATEDIF(G208,TODAY(),"Y")</f>
        <v>24</v>
      </c>
      <c r="J208" s="55"/>
      <c r="K208" s="56">
        <v>49530</v>
      </c>
      <c r="L208" s="57">
        <v>2</v>
      </c>
    </row>
    <row r="209" spans="1:12" ht="15" x14ac:dyDescent="0.25">
      <c r="A209" s="42" t="s">
        <v>685</v>
      </c>
      <c r="B209" s="49" t="s">
        <v>245</v>
      </c>
      <c r="C209" s="42" t="s">
        <v>465</v>
      </c>
      <c r="D209" s="75">
        <v>566726453</v>
      </c>
      <c r="E209" s="76">
        <v>9192168237</v>
      </c>
      <c r="F209" s="42" t="s">
        <v>256</v>
      </c>
      <c r="G209" s="84">
        <v>35020</v>
      </c>
      <c r="H209" s="108" t="str">
        <f>CHOOSE(MONTH(G209),"January","February","March","April","May","June","July","August","September","October","November","December")</f>
        <v>November</v>
      </c>
      <c r="I209" s="54">
        <f ca="1">DATEDIF(G209,TODAY(),"Y")</f>
        <v>20</v>
      </c>
      <c r="J209" s="55" t="s">
        <v>262</v>
      </c>
      <c r="K209" s="56">
        <v>38940</v>
      </c>
      <c r="L209" s="57">
        <v>2</v>
      </c>
    </row>
    <row r="210" spans="1:12" ht="15" x14ac:dyDescent="0.25">
      <c r="A210" s="42" t="s">
        <v>735</v>
      </c>
      <c r="B210" s="49" t="s">
        <v>271</v>
      </c>
      <c r="C210" s="42" t="s">
        <v>465</v>
      </c>
      <c r="D210" s="75">
        <v>380653169</v>
      </c>
      <c r="E210" s="76">
        <v>9194743535</v>
      </c>
      <c r="F210" s="42" t="s">
        <v>256</v>
      </c>
      <c r="G210" s="84">
        <v>34151</v>
      </c>
      <c r="H210" s="108" t="str">
        <f>CHOOSE(MONTH(G210),"January","February","March","April","May","June","July","August","September","October","November","December")</f>
        <v>July</v>
      </c>
      <c r="I210" s="54">
        <f ca="1">DATEDIF(G210,TODAY(),"Y")</f>
        <v>23</v>
      </c>
      <c r="J210" s="55" t="s">
        <v>283</v>
      </c>
      <c r="K210" s="56">
        <v>81980</v>
      </c>
      <c r="L210" s="57">
        <v>2</v>
      </c>
    </row>
    <row r="211" spans="1:12" ht="15" x14ac:dyDescent="0.25">
      <c r="A211" s="42" t="s">
        <v>351</v>
      </c>
      <c r="B211" s="49" t="s">
        <v>251</v>
      </c>
      <c r="C211" s="42" t="s">
        <v>465</v>
      </c>
      <c r="D211" s="75">
        <v>923123594</v>
      </c>
      <c r="E211" s="76">
        <v>2528669137</v>
      </c>
      <c r="F211" s="42" t="s">
        <v>256</v>
      </c>
      <c r="G211" s="84">
        <v>36198</v>
      </c>
      <c r="H211" s="108" t="str">
        <f>CHOOSE(MONTH(G211),"January","February","March","April","May","June","July","August","September","October","November","December")</f>
        <v>February</v>
      </c>
      <c r="I211" s="54">
        <f ca="1">DATEDIF(G211,TODAY(),"Y")</f>
        <v>17</v>
      </c>
      <c r="J211" s="55" t="s">
        <v>276</v>
      </c>
      <c r="K211" s="56">
        <v>81400</v>
      </c>
      <c r="L211" s="57">
        <v>2</v>
      </c>
    </row>
    <row r="212" spans="1:12" ht="15" x14ac:dyDescent="0.25">
      <c r="A212" s="42" t="s">
        <v>493</v>
      </c>
      <c r="B212" s="49" t="s">
        <v>266</v>
      </c>
      <c r="C212" s="42" t="s">
        <v>465</v>
      </c>
      <c r="D212" s="75">
        <v>425634540</v>
      </c>
      <c r="E212" s="76">
        <v>9196969994</v>
      </c>
      <c r="F212" s="42" t="s">
        <v>256</v>
      </c>
      <c r="G212" s="84">
        <v>40175</v>
      </c>
      <c r="H212" s="108" t="str">
        <f>CHOOSE(MONTH(G212),"January","February","March","April","May","June","July","August","September","October","November","December")</f>
        <v>December</v>
      </c>
      <c r="I212" s="54">
        <f ca="1">DATEDIF(G212,TODAY(),"Y")</f>
        <v>6</v>
      </c>
      <c r="J212" s="55" t="s">
        <v>267</v>
      </c>
      <c r="K212" s="56">
        <v>34690</v>
      </c>
      <c r="L212" s="57">
        <v>2</v>
      </c>
    </row>
    <row r="213" spans="1:12" ht="15" x14ac:dyDescent="0.25">
      <c r="A213" s="42" t="s">
        <v>573</v>
      </c>
      <c r="B213" s="49" t="s">
        <v>251</v>
      </c>
      <c r="C213" s="42" t="s">
        <v>465</v>
      </c>
      <c r="D213" s="75">
        <v>720538680</v>
      </c>
      <c r="E213" s="76">
        <v>2522126686</v>
      </c>
      <c r="F213" s="42" t="s">
        <v>256</v>
      </c>
      <c r="G213" s="84">
        <v>34483</v>
      </c>
      <c r="H213" s="108" t="str">
        <f>CHOOSE(MONTH(G213),"January","February","March","April","May","June","July","August","September","October","November","December")</f>
        <v>May</v>
      </c>
      <c r="I213" s="54">
        <f ca="1">DATEDIF(G213,TODAY(),"Y")</f>
        <v>22</v>
      </c>
      <c r="J213" s="55" t="s">
        <v>257</v>
      </c>
      <c r="K213" s="56">
        <v>81010</v>
      </c>
      <c r="L213" s="57">
        <v>4</v>
      </c>
    </row>
    <row r="214" spans="1:12" ht="15" x14ac:dyDescent="0.25">
      <c r="A214" s="42" t="s">
        <v>657</v>
      </c>
      <c r="B214" s="49" t="s">
        <v>266</v>
      </c>
      <c r="C214" s="42" t="s">
        <v>465</v>
      </c>
      <c r="D214" s="75">
        <v>165917010</v>
      </c>
      <c r="E214" s="76">
        <v>2527038033</v>
      </c>
      <c r="F214" s="42" t="s">
        <v>247</v>
      </c>
      <c r="G214" s="84">
        <v>34671</v>
      </c>
      <c r="H214" s="108" t="str">
        <f>CHOOSE(MONTH(G214),"January","February","March","April","May","June","July","August","September","October","November","December")</f>
        <v>December</v>
      </c>
      <c r="I214" s="54">
        <f ca="1">DATEDIF(G214,TODAY(),"Y")</f>
        <v>21</v>
      </c>
      <c r="J214" s="55"/>
      <c r="K214" s="56">
        <v>80690</v>
      </c>
      <c r="L214" s="57">
        <v>3</v>
      </c>
    </row>
    <row r="215" spans="1:12" ht="15" x14ac:dyDescent="0.25">
      <c r="A215" s="42" t="s">
        <v>1019</v>
      </c>
      <c r="B215" s="49" t="s">
        <v>251</v>
      </c>
      <c r="C215" s="42" t="s">
        <v>465</v>
      </c>
      <c r="D215" s="75">
        <v>240272873</v>
      </c>
      <c r="E215" s="76">
        <v>9198912054</v>
      </c>
      <c r="F215" s="42" t="s">
        <v>247</v>
      </c>
      <c r="G215" s="84">
        <v>38912</v>
      </c>
      <c r="H215" s="108" t="str">
        <f>CHOOSE(MONTH(G215),"January","February","March","April","May","June","July","August","September","October","November","December")</f>
        <v>July</v>
      </c>
      <c r="I215" s="54">
        <f ca="1">DATEDIF(G215,TODAY(),"Y")</f>
        <v>10</v>
      </c>
      <c r="J215" s="55"/>
      <c r="K215" s="56">
        <v>80330</v>
      </c>
      <c r="L215" s="57">
        <v>4</v>
      </c>
    </row>
    <row r="216" spans="1:12" ht="15" x14ac:dyDescent="0.25">
      <c r="A216" s="42" t="s">
        <v>614</v>
      </c>
      <c r="B216" s="49" t="s">
        <v>271</v>
      </c>
      <c r="C216" s="42" t="s">
        <v>465</v>
      </c>
      <c r="D216" s="75">
        <v>501523688</v>
      </c>
      <c r="E216" s="76">
        <v>2528560698</v>
      </c>
      <c r="F216" s="42" t="s">
        <v>256</v>
      </c>
      <c r="G216" s="84">
        <v>35520</v>
      </c>
      <c r="H216" s="108" t="str">
        <f>CHOOSE(MONTH(G216),"January","February","March","April","May","June","July","August","September","October","November","December")</f>
        <v>March</v>
      </c>
      <c r="I216" s="54">
        <f ca="1">DATEDIF(G216,TODAY(),"Y")</f>
        <v>19</v>
      </c>
      <c r="J216" s="55" t="s">
        <v>257</v>
      </c>
      <c r="K216" s="56">
        <v>79730</v>
      </c>
      <c r="L216" s="57">
        <v>2</v>
      </c>
    </row>
    <row r="217" spans="1:12" ht="15" x14ac:dyDescent="0.25">
      <c r="A217" s="42" t="s">
        <v>730</v>
      </c>
      <c r="B217" s="49" t="s">
        <v>285</v>
      </c>
      <c r="C217" s="42" t="s">
        <v>465</v>
      </c>
      <c r="D217" s="75">
        <v>356242235</v>
      </c>
      <c r="E217" s="76">
        <v>2521667727</v>
      </c>
      <c r="F217" s="42" t="s">
        <v>261</v>
      </c>
      <c r="G217" s="84">
        <v>36604</v>
      </c>
      <c r="H217" s="108" t="str">
        <f>CHOOSE(MONTH(G217),"January","February","March","April","May","June","July","August","September","October","November","December")</f>
        <v>March</v>
      </c>
      <c r="I217" s="54">
        <f ca="1">DATEDIF(G217,TODAY(),"Y")</f>
        <v>16</v>
      </c>
      <c r="J217" s="55" t="s">
        <v>283</v>
      </c>
      <c r="K217" s="56">
        <v>46710</v>
      </c>
      <c r="L217" s="57">
        <v>3</v>
      </c>
    </row>
    <row r="218" spans="1:12" ht="15" x14ac:dyDescent="0.25">
      <c r="A218" s="42" t="s">
        <v>564</v>
      </c>
      <c r="B218" s="49" t="s">
        <v>285</v>
      </c>
      <c r="C218" s="42" t="s">
        <v>465</v>
      </c>
      <c r="D218" s="75">
        <v>428024993</v>
      </c>
      <c r="E218" s="76">
        <v>9196410575</v>
      </c>
      <c r="F218" s="42" t="s">
        <v>247</v>
      </c>
      <c r="G218" s="84">
        <v>33774</v>
      </c>
      <c r="H218" s="108" t="str">
        <f>CHOOSE(MONTH(G218),"January","February","March","April","May","June","July","August","September","October","November","December")</f>
        <v>June</v>
      </c>
      <c r="I218" s="54">
        <f ca="1">DATEDIF(G218,TODAY(),"Y")</f>
        <v>24</v>
      </c>
      <c r="J218" s="55"/>
      <c r="K218" s="56">
        <v>32190</v>
      </c>
      <c r="L218" s="57">
        <v>3</v>
      </c>
    </row>
    <row r="219" spans="1:12" ht="15" x14ac:dyDescent="0.25">
      <c r="A219" s="42" t="s">
        <v>355</v>
      </c>
      <c r="B219" s="49" t="s">
        <v>245</v>
      </c>
      <c r="C219" s="42" t="s">
        <v>465</v>
      </c>
      <c r="D219" s="75">
        <v>138607245</v>
      </c>
      <c r="E219" s="76">
        <v>2522140101</v>
      </c>
      <c r="F219" s="42" t="s">
        <v>247</v>
      </c>
      <c r="G219" s="84">
        <v>34053</v>
      </c>
      <c r="H219" s="108" t="str">
        <f>CHOOSE(MONTH(G219),"January","February","March","April","May","June","July","August","September","October","November","December")</f>
        <v>March</v>
      </c>
      <c r="I219" s="54">
        <f ca="1">DATEDIF(G219,TODAY(),"Y")</f>
        <v>23</v>
      </c>
      <c r="J219" s="55"/>
      <c r="K219" s="56">
        <v>79220</v>
      </c>
      <c r="L219" s="57">
        <v>4</v>
      </c>
    </row>
    <row r="220" spans="1:12" ht="15" x14ac:dyDescent="0.25">
      <c r="A220" s="42" t="s">
        <v>545</v>
      </c>
      <c r="B220" s="49" t="s">
        <v>271</v>
      </c>
      <c r="C220" s="42" t="s">
        <v>465</v>
      </c>
      <c r="D220" s="75">
        <v>854806695</v>
      </c>
      <c r="E220" s="76">
        <v>9192672603</v>
      </c>
      <c r="F220" s="42" t="s">
        <v>256</v>
      </c>
      <c r="G220" s="84">
        <v>33721</v>
      </c>
      <c r="H220" s="108" t="str">
        <f>CHOOSE(MONTH(G220),"January","February","March","April","May","June","July","August","September","October","November","December")</f>
        <v>April</v>
      </c>
      <c r="I220" s="54">
        <f ca="1">DATEDIF(G220,TODAY(),"Y")</f>
        <v>24</v>
      </c>
      <c r="J220" s="55" t="s">
        <v>283</v>
      </c>
      <c r="K220" s="56">
        <v>26190</v>
      </c>
      <c r="L220" s="57">
        <v>5</v>
      </c>
    </row>
    <row r="221" spans="1:12" ht="15" x14ac:dyDescent="0.25">
      <c r="A221" s="42" t="s">
        <v>483</v>
      </c>
      <c r="B221" s="49" t="s">
        <v>251</v>
      </c>
      <c r="C221" s="42" t="s">
        <v>465</v>
      </c>
      <c r="D221" s="75">
        <v>338977629</v>
      </c>
      <c r="E221" s="76">
        <v>2524252315</v>
      </c>
      <c r="F221" s="42" t="s">
        <v>256</v>
      </c>
      <c r="G221" s="84">
        <v>35801</v>
      </c>
      <c r="H221" s="108" t="str">
        <f>CHOOSE(MONTH(G221),"January","February","March","April","May","June","July","August","September","October","November","December")</f>
        <v>January</v>
      </c>
      <c r="I221" s="54">
        <f ca="1">DATEDIF(G221,TODAY(),"Y")</f>
        <v>18</v>
      </c>
      <c r="J221" s="55" t="s">
        <v>257</v>
      </c>
      <c r="K221" s="56">
        <v>78570</v>
      </c>
      <c r="L221" s="57">
        <v>1</v>
      </c>
    </row>
    <row r="222" spans="1:12" ht="15" x14ac:dyDescent="0.25">
      <c r="A222" s="42" t="s">
        <v>1028</v>
      </c>
      <c r="B222" s="49" t="s">
        <v>285</v>
      </c>
      <c r="C222" s="42" t="s">
        <v>465</v>
      </c>
      <c r="D222" s="75">
        <v>412611335</v>
      </c>
      <c r="E222" s="76">
        <v>2525998691</v>
      </c>
      <c r="F222" s="42" t="s">
        <v>247</v>
      </c>
      <c r="G222" s="84">
        <v>38507</v>
      </c>
      <c r="H222" s="108" t="str">
        <f>CHOOSE(MONTH(G222),"January","February","March","April","May","June","July","August","September","October","November","December")</f>
        <v>June</v>
      </c>
      <c r="I222" s="54">
        <f ca="1">DATEDIF(G222,TODAY(),"Y")</f>
        <v>11</v>
      </c>
      <c r="J222" s="55"/>
      <c r="K222" s="56">
        <v>40940</v>
      </c>
      <c r="L222" s="57">
        <v>2</v>
      </c>
    </row>
    <row r="223" spans="1:12" ht="15" x14ac:dyDescent="0.25">
      <c r="A223" s="42" t="s">
        <v>881</v>
      </c>
      <c r="B223" s="49" t="s">
        <v>245</v>
      </c>
      <c r="C223" s="42" t="s">
        <v>465</v>
      </c>
      <c r="D223" s="75">
        <v>159117255</v>
      </c>
      <c r="E223" s="76">
        <v>9198426889</v>
      </c>
      <c r="F223" s="42" t="s">
        <v>247</v>
      </c>
      <c r="G223" s="84">
        <v>39830</v>
      </c>
      <c r="H223" s="108" t="str">
        <f>CHOOSE(MONTH(G223),"January","February","March","April","May","June","July","August","September","October","November","December")</f>
        <v>January</v>
      </c>
      <c r="I223" s="54">
        <f ca="1">DATEDIF(G223,TODAY(),"Y")</f>
        <v>7</v>
      </c>
      <c r="J223" s="55"/>
      <c r="K223" s="56">
        <v>78520</v>
      </c>
      <c r="L223" s="57">
        <v>4</v>
      </c>
    </row>
    <row r="224" spans="1:12" ht="15" x14ac:dyDescent="0.25">
      <c r="A224" s="42" t="s">
        <v>603</v>
      </c>
      <c r="B224" s="49" t="s">
        <v>280</v>
      </c>
      <c r="C224" s="42" t="s">
        <v>465</v>
      </c>
      <c r="D224" s="75">
        <v>180095803</v>
      </c>
      <c r="E224" s="76">
        <v>2526503334</v>
      </c>
      <c r="F224" s="42" t="s">
        <v>256</v>
      </c>
      <c r="G224" s="84">
        <v>39972</v>
      </c>
      <c r="H224" s="108" t="str">
        <f>CHOOSE(MONTH(G224),"January","February","March","April","May","June","July","August","September","October","November","December")</f>
        <v>June</v>
      </c>
      <c r="I224" s="54">
        <f ca="1">DATEDIF(G224,TODAY(),"Y")</f>
        <v>7</v>
      </c>
      <c r="J224" s="55" t="s">
        <v>257</v>
      </c>
      <c r="K224" s="56">
        <v>78170</v>
      </c>
      <c r="L224" s="57">
        <v>5</v>
      </c>
    </row>
    <row r="225" spans="1:12" ht="15" x14ac:dyDescent="0.25">
      <c r="A225" s="42" t="s">
        <v>695</v>
      </c>
      <c r="B225" s="49" t="s">
        <v>285</v>
      </c>
      <c r="C225" s="42" t="s">
        <v>465</v>
      </c>
      <c r="D225" s="75">
        <v>722630791</v>
      </c>
      <c r="E225" s="76">
        <v>2522263363</v>
      </c>
      <c r="F225" s="42" t="s">
        <v>252</v>
      </c>
      <c r="G225" s="84">
        <v>35982</v>
      </c>
      <c r="H225" s="108" t="str">
        <f>CHOOSE(MONTH(G225),"January","February","March","April","May","June","July","August","September","October","November","December")</f>
        <v>July</v>
      </c>
      <c r="I225" s="54">
        <f ca="1">DATEDIF(G225,TODAY(),"Y")</f>
        <v>18</v>
      </c>
      <c r="J225" s="55"/>
      <c r="K225" s="56">
        <v>8904</v>
      </c>
      <c r="L225" s="57">
        <v>3</v>
      </c>
    </row>
    <row r="226" spans="1:12" ht="15" x14ac:dyDescent="0.25">
      <c r="A226" s="42" t="s">
        <v>854</v>
      </c>
      <c r="B226" s="49" t="s">
        <v>285</v>
      </c>
      <c r="C226" s="42" t="s">
        <v>465</v>
      </c>
      <c r="D226" s="75">
        <v>167058119</v>
      </c>
      <c r="E226" s="76">
        <v>2527237007</v>
      </c>
      <c r="F226" s="42" t="s">
        <v>252</v>
      </c>
      <c r="G226" s="84">
        <v>37730</v>
      </c>
      <c r="H226" s="108" t="str">
        <f>CHOOSE(MONTH(G226),"January","February","March","April","May","June","July","August","September","October","November","December")</f>
        <v>April</v>
      </c>
      <c r="I226" s="54">
        <f ca="1">DATEDIF(G226,TODAY(),"Y")</f>
        <v>13</v>
      </c>
      <c r="J226" s="55"/>
      <c r="K226" s="56">
        <v>8892</v>
      </c>
      <c r="L226" s="57">
        <v>1</v>
      </c>
    </row>
    <row r="227" spans="1:12" ht="15" x14ac:dyDescent="0.25">
      <c r="A227" s="42" t="s">
        <v>886</v>
      </c>
      <c r="B227" s="49" t="s">
        <v>271</v>
      </c>
      <c r="C227" s="42" t="s">
        <v>465</v>
      </c>
      <c r="D227" s="75">
        <v>775217609</v>
      </c>
      <c r="E227" s="76">
        <v>9191591006</v>
      </c>
      <c r="F227" s="42" t="s">
        <v>256</v>
      </c>
      <c r="G227" s="84">
        <v>34404</v>
      </c>
      <c r="H227" s="108" t="str">
        <f>CHOOSE(MONTH(G227),"January","February","March","April","May","June","July","August","September","October","November","December")</f>
        <v>March</v>
      </c>
      <c r="I227" s="54">
        <f ca="1">DATEDIF(G227,TODAY(),"Y")</f>
        <v>22</v>
      </c>
      <c r="J227" s="55" t="s">
        <v>283</v>
      </c>
      <c r="K227" s="56">
        <v>24710</v>
      </c>
      <c r="L227" s="57">
        <v>2</v>
      </c>
    </row>
    <row r="228" spans="1:12" ht="15" x14ac:dyDescent="0.25">
      <c r="A228" s="42" t="s">
        <v>738</v>
      </c>
      <c r="B228" s="49" t="s">
        <v>266</v>
      </c>
      <c r="C228" s="42" t="s">
        <v>465</v>
      </c>
      <c r="D228" s="75">
        <v>881975933</v>
      </c>
      <c r="E228" s="76">
        <v>9192354572</v>
      </c>
      <c r="F228" s="42" t="s">
        <v>256</v>
      </c>
      <c r="G228" s="84">
        <v>35830</v>
      </c>
      <c r="H228" s="108" t="str">
        <f>CHOOSE(MONTH(G228),"January","February","March","April","May","June","July","August","September","October","November","December")</f>
        <v>February</v>
      </c>
      <c r="I228" s="54">
        <f ca="1">DATEDIF(G228,TODAY(),"Y")</f>
        <v>18</v>
      </c>
      <c r="J228" s="55" t="s">
        <v>267</v>
      </c>
      <c r="K228" s="56">
        <v>35460</v>
      </c>
      <c r="L228" s="57">
        <v>5</v>
      </c>
    </row>
    <row r="229" spans="1:12" ht="15" x14ac:dyDescent="0.25">
      <c r="A229" s="42" t="s">
        <v>940</v>
      </c>
      <c r="B229" s="49" t="s">
        <v>285</v>
      </c>
      <c r="C229" s="42" t="s">
        <v>465</v>
      </c>
      <c r="D229" s="75">
        <v>482927373</v>
      </c>
      <c r="E229" s="76">
        <v>9198413271</v>
      </c>
      <c r="F229" s="42" t="s">
        <v>256</v>
      </c>
      <c r="G229" s="84">
        <v>35526</v>
      </c>
      <c r="H229" s="108" t="str">
        <f>CHOOSE(MONTH(G229),"January","February","March","April","May","June","July","August","September","October","November","December")</f>
        <v>April</v>
      </c>
      <c r="I229" s="54">
        <f ca="1">DATEDIF(G229,TODAY(),"Y")</f>
        <v>19</v>
      </c>
      <c r="J229" s="55" t="s">
        <v>283</v>
      </c>
      <c r="K229" s="56">
        <v>32390</v>
      </c>
      <c r="L229" s="57">
        <v>2</v>
      </c>
    </row>
    <row r="230" spans="1:12" ht="15" x14ac:dyDescent="0.25">
      <c r="A230" s="42" t="s">
        <v>724</v>
      </c>
      <c r="B230" s="49" t="s">
        <v>245</v>
      </c>
      <c r="C230" s="42" t="s">
        <v>465</v>
      </c>
      <c r="D230" s="75">
        <v>353414196</v>
      </c>
      <c r="E230" s="76">
        <v>2528159919</v>
      </c>
      <c r="F230" s="42" t="s">
        <v>256</v>
      </c>
      <c r="G230" s="84">
        <v>36698</v>
      </c>
      <c r="H230" s="108" t="str">
        <f>CHOOSE(MONTH(G230),"January","February","March","April","May","June","July","August","September","October","November","December")</f>
        <v>June</v>
      </c>
      <c r="I230" s="54">
        <f ca="1">DATEDIF(G230,TODAY(),"Y")</f>
        <v>16</v>
      </c>
      <c r="J230" s="55" t="s">
        <v>267</v>
      </c>
      <c r="K230" s="56">
        <v>23650</v>
      </c>
      <c r="L230" s="57">
        <v>1</v>
      </c>
    </row>
    <row r="231" spans="1:12" ht="15" x14ac:dyDescent="0.25">
      <c r="A231" s="42" t="s">
        <v>857</v>
      </c>
      <c r="B231" s="49" t="s">
        <v>266</v>
      </c>
      <c r="C231" s="42" t="s">
        <v>465</v>
      </c>
      <c r="D231" s="75">
        <v>484217278</v>
      </c>
      <c r="E231" s="76">
        <v>9195627374</v>
      </c>
      <c r="F231" s="42" t="s">
        <v>252</v>
      </c>
      <c r="G231" s="84">
        <v>39747</v>
      </c>
      <c r="H231" s="108" t="str">
        <f>CHOOSE(MONTH(G231),"January","February","March","April","May","June","July","August","September","October","November","December")</f>
        <v>October</v>
      </c>
      <c r="I231" s="54">
        <f ca="1">DATEDIF(G231,TODAY(),"Y")</f>
        <v>8</v>
      </c>
      <c r="J231" s="55"/>
      <c r="K231" s="56">
        <v>10572</v>
      </c>
      <c r="L231" s="57">
        <v>4</v>
      </c>
    </row>
    <row r="232" spans="1:12" ht="15" x14ac:dyDescent="0.25">
      <c r="A232" s="42" t="s">
        <v>478</v>
      </c>
      <c r="B232" s="49" t="s">
        <v>251</v>
      </c>
      <c r="C232" s="42" t="s">
        <v>465</v>
      </c>
      <c r="D232" s="75">
        <v>317844971</v>
      </c>
      <c r="E232" s="76">
        <v>9193557946</v>
      </c>
      <c r="F232" s="42" t="s">
        <v>247</v>
      </c>
      <c r="G232" s="84">
        <v>35927</v>
      </c>
      <c r="H232" s="108" t="str">
        <f>CHOOSE(MONTH(G232),"January","February","March","April","May","June","July","August","September","October","November","December")</f>
        <v>May</v>
      </c>
      <c r="I232" s="54">
        <f ca="1">DATEDIF(G232,TODAY(),"Y")</f>
        <v>18</v>
      </c>
      <c r="J232" s="55"/>
      <c r="K232" s="56">
        <v>76910</v>
      </c>
      <c r="L232" s="57">
        <v>1</v>
      </c>
    </row>
    <row r="233" spans="1:12" ht="15" x14ac:dyDescent="0.25">
      <c r="A233" s="42" t="s">
        <v>899</v>
      </c>
      <c r="B233" s="49" t="s">
        <v>271</v>
      </c>
      <c r="C233" s="42" t="s">
        <v>465</v>
      </c>
      <c r="D233" s="75">
        <v>995858336</v>
      </c>
      <c r="E233" s="76">
        <v>2525035104</v>
      </c>
      <c r="F233" s="42" t="s">
        <v>247</v>
      </c>
      <c r="G233" s="84">
        <v>40470</v>
      </c>
      <c r="H233" s="108" t="str">
        <f>CHOOSE(MONTH(G233),"January","February","March","April","May","June","July","August","September","October","November","December")</f>
        <v>October</v>
      </c>
      <c r="I233" s="54">
        <f ca="1">DATEDIF(G233,TODAY(),"Y")</f>
        <v>6</v>
      </c>
      <c r="J233" s="55"/>
      <c r="K233" s="56">
        <v>37840</v>
      </c>
      <c r="L233" s="57">
        <v>1</v>
      </c>
    </row>
    <row r="234" spans="1:12" ht="15" x14ac:dyDescent="0.25">
      <c r="A234" s="42" t="s">
        <v>489</v>
      </c>
      <c r="B234" s="49" t="s">
        <v>285</v>
      </c>
      <c r="C234" s="42" t="s">
        <v>465</v>
      </c>
      <c r="D234" s="75">
        <v>589649495</v>
      </c>
      <c r="E234" s="76">
        <v>2524248455</v>
      </c>
      <c r="F234" s="42" t="s">
        <v>256</v>
      </c>
      <c r="G234" s="84">
        <v>36707</v>
      </c>
      <c r="H234" s="108" t="str">
        <f>CHOOSE(MONTH(G234),"January","February","March","April","May","June","July","August","September","October","November","December")</f>
        <v>June</v>
      </c>
      <c r="I234" s="54">
        <f ca="1">DATEDIF(G234,TODAY(),"Y")</f>
        <v>16</v>
      </c>
      <c r="J234" s="55" t="s">
        <v>276</v>
      </c>
      <c r="K234" s="56">
        <v>38870</v>
      </c>
      <c r="L234" s="57">
        <v>2</v>
      </c>
    </row>
    <row r="235" spans="1:12" ht="15" x14ac:dyDescent="0.25">
      <c r="A235" s="42" t="s">
        <v>303</v>
      </c>
      <c r="B235" s="49" t="s">
        <v>251</v>
      </c>
      <c r="C235" s="42" t="s">
        <v>465</v>
      </c>
      <c r="D235" s="75">
        <v>682907379</v>
      </c>
      <c r="E235" s="76">
        <v>2521854525</v>
      </c>
      <c r="F235" s="42" t="s">
        <v>256</v>
      </c>
      <c r="G235" s="84">
        <v>35311</v>
      </c>
      <c r="H235" s="108" t="str">
        <f>CHOOSE(MONTH(G235),"January","February","March","April","May","June","July","August","September","October","November","December")</f>
        <v>September</v>
      </c>
      <c r="I235" s="54">
        <f ca="1">DATEDIF(G235,TODAY(),"Y")</f>
        <v>20</v>
      </c>
      <c r="J235" s="55" t="s">
        <v>267</v>
      </c>
      <c r="K235" s="56">
        <v>39520</v>
      </c>
      <c r="L235" s="57">
        <v>5</v>
      </c>
    </row>
    <row r="236" spans="1:12" ht="15" x14ac:dyDescent="0.25">
      <c r="A236" s="42" t="s">
        <v>507</v>
      </c>
      <c r="B236" s="49" t="s">
        <v>245</v>
      </c>
      <c r="C236" s="42" t="s">
        <v>465</v>
      </c>
      <c r="D236" s="75">
        <v>561968668</v>
      </c>
      <c r="E236" s="76">
        <v>2522433774</v>
      </c>
      <c r="F236" s="42" t="s">
        <v>256</v>
      </c>
      <c r="G236" s="84">
        <v>38809</v>
      </c>
      <c r="H236" s="108" t="str">
        <f>CHOOSE(MONTH(G236),"January","February","March","April","May","June","July","August","September","October","November","December")</f>
        <v>April</v>
      </c>
      <c r="I236" s="54">
        <f ca="1">DATEDIF(G236,TODAY(),"Y")</f>
        <v>10</v>
      </c>
      <c r="J236" s="55" t="s">
        <v>262</v>
      </c>
      <c r="K236" s="56">
        <v>76584</v>
      </c>
      <c r="L236" s="57">
        <v>1</v>
      </c>
    </row>
    <row r="237" spans="1:12" ht="15" x14ac:dyDescent="0.25">
      <c r="A237" s="42" t="s">
        <v>912</v>
      </c>
      <c r="B237" s="49" t="s">
        <v>285</v>
      </c>
      <c r="C237" s="42" t="s">
        <v>465</v>
      </c>
      <c r="D237" s="75">
        <v>798466688</v>
      </c>
      <c r="E237" s="76">
        <v>9192232339</v>
      </c>
      <c r="F237" s="42" t="s">
        <v>256</v>
      </c>
      <c r="G237" s="84">
        <v>40203</v>
      </c>
      <c r="H237" s="108" t="str">
        <f>CHOOSE(MONTH(G237),"January","February","March","April","May","June","July","August","September","October","November","December")</f>
        <v>January</v>
      </c>
      <c r="I237" s="54">
        <f ca="1">DATEDIF(G237,TODAY(),"Y")</f>
        <v>6</v>
      </c>
      <c r="J237" s="55" t="s">
        <v>257</v>
      </c>
      <c r="K237" s="56">
        <v>35600</v>
      </c>
      <c r="L237" s="57">
        <v>5</v>
      </c>
    </row>
    <row r="238" spans="1:12" ht="15" x14ac:dyDescent="0.25">
      <c r="A238" s="42" t="s">
        <v>691</v>
      </c>
      <c r="B238" s="49" t="s">
        <v>271</v>
      </c>
      <c r="C238" s="42" t="s">
        <v>465</v>
      </c>
      <c r="D238" s="75">
        <v>914326052</v>
      </c>
      <c r="E238" s="76">
        <v>2524249228</v>
      </c>
      <c r="F238" s="42" t="s">
        <v>256</v>
      </c>
      <c r="G238" s="84">
        <v>36535</v>
      </c>
      <c r="H238" s="108" t="str">
        <f>CHOOSE(MONTH(G238),"January","February","March","April","May","June","July","August","September","October","November","December")</f>
        <v>January</v>
      </c>
      <c r="I238" s="54">
        <f ca="1">DATEDIF(G238,TODAY(),"Y")</f>
        <v>16</v>
      </c>
      <c r="J238" s="55" t="s">
        <v>257</v>
      </c>
      <c r="K238" s="56">
        <v>76192</v>
      </c>
      <c r="L238" s="57">
        <v>4</v>
      </c>
    </row>
    <row r="239" spans="1:12" ht="15" x14ac:dyDescent="0.25">
      <c r="A239" s="42" t="s">
        <v>878</v>
      </c>
      <c r="B239" s="49" t="s">
        <v>266</v>
      </c>
      <c r="C239" s="42" t="s">
        <v>465</v>
      </c>
      <c r="D239" s="75">
        <v>143534593</v>
      </c>
      <c r="E239" s="76">
        <v>2527172882</v>
      </c>
      <c r="F239" s="42" t="s">
        <v>247</v>
      </c>
      <c r="G239" s="84">
        <v>37820</v>
      </c>
      <c r="H239" s="108" t="str">
        <f>CHOOSE(MONTH(G239),"January","February","March","April","May","June","July","August","September","October","November","December")</f>
        <v>July</v>
      </c>
      <c r="I239" s="54">
        <f ca="1">DATEDIF(G239,TODAY(),"Y")</f>
        <v>13</v>
      </c>
      <c r="J239" s="55"/>
      <c r="K239" s="56">
        <v>75420</v>
      </c>
      <c r="L239" s="57">
        <v>1</v>
      </c>
    </row>
    <row r="240" spans="1:12" ht="15" x14ac:dyDescent="0.25">
      <c r="A240" s="42" t="s">
        <v>293</v>
      </c>
      <c r="B240" s="49" t="s">
        <v>271</v>
      </c>
      <c r="C240" s="42" t="s">
        <v>465</v>
      </c>
      <c r="D240" s="75">
        <v>708108747</v>
      </c>
      <c r="E240" s="76">
        <v>9192520526</v>
      </c>
      <c r="F240" s="42" t="s">
        <v>256</v>
      </c>
      <c r="G240" s="84">
        <v>37943</v>
      </c>
      <c r="H240" s="108" t="str">
        <f>CHOOSE(MONTH(G240),"January","February","March","April","May","June","July","August","September","October","November","December")</f>
        <v>November</v>
      </c>
      <c r="I240" s="54">
        <f ca="1">DATEDIF(G240,TODAY(),"Y")</f>
        <v>12</v>
      </c>
      <c r="J240" s="55" t="s">
        <v>257</v>
      </c>
      <c r="K240" s="56">
        <v>75176</v>
      </c>
      <c r="L240" s="57">
        <v>3</v>
      </c>
    </row>
    <row r="241" spans="1:12" ht="15" x14ac:dyDescent="0.25">
      <c r="A241" s="42" t="s">
        <v>751</v>
      </c>
      <c r="B241" s="49" t="s">
        <v>271</v>
      </c>
      <c r="C241" s="42" t="s">
        <v>465</v>
      </c>
      <c r="D241" s="75">
        <v>470719383</v>
      </c>
      <c r="E241" s="76">
        <v>9197848542</v>
      </c>
      <c r="F241" s="42" t="s">
        <v>256</v>
      </c>
      <c r="G241" s="84">
        <v>36009</v>
      </c>
      <c r="H241" s="108" t="str">
        <f>CHOOSE(MONTH(G241),"January","February","March","April","May","June","July","August","September","October","November","December")</f>
        <v>August</v>
      </c>
      <c r="I241" s="54">
        <f ca="1">DATEDIF(G241,TODAY(),"Y")</f>
        <v>18</v>
      </c>
      <c r="J241" s="55" t="s">
        <v>257</v>
      </c>
      <c r="K241" s="56">
        <v>75120</v>
      </c>
      <c r="L241" s="57">
        <v>5</v>
      </c>
    </row>
    <row r="242" spans="1:12" ht="15" x14ac:dyDescent="0.25">
      <c r="A242" s="42" t="s">
        <v>862</v>
      </c>
      <c r="B242" s="49" t="s">
        <v>285</v>
      </c>
      <c r="C242" s="42" t="s">
        <v>465</v>
      </c>
      <c r="D242" s="75">
        <v>377194926</v>
      </c>
      <c r="E242" s="76">
        <v>9197362525</v>
      </c>
      <c r="F242" s="42" t="s">
        <v>256</v>
      </c>
      <c r="G242" s="106">
        <v>40603</v>
      </c>
      <c r="H242" s="108" t="str">
        <f>CHOOSE(MONTH(G242),"January","February","March","April","May","June","July","August","September","October","November","December")</f>
        <v>March</v>
      </c>
      <c r="I242" s="54">
        <f ca="1">DATEDIF(G242,TODAY(),"Y")</f>
        <v>5</v>
      </c>
      <c r="J242" s="55" t="s">
        <v>267</v>
      </c>
      <c r="K242" s="56">
        <v>44260</v>
      </c>
      <c r="L242" s="57">
        <v>1</v>
      </c>
    </row>
    <row r="243" spans="1:12" ht="15" x14ac:dyDescent="0.25">
      <c r="A243" s="42" t="s">
        <v>550</v>
      </c>
      <c r="B243" s="49" t="s">
        <v>280</v>
      </c>
      <c r="C243" s="42" t="s">
        <v>465</v>
      </c>
      <c r="D243" s="75">
        <v>504914685</v>
      </c>
      <c r="E243" s="76">
        <v>9195250630</v>
      </c>
      <c r="F243" s="42" t="s">
        <v>256</v>
      </c>
      <c r="G243" s="84">
        <v>36084</v>
      </c>
      <c r="H243" s="108" t="str">
        <f>CHOOSE(MONTH(G243),"January","February","March","April","May","June","July","August","September","October","November","December")</f>
        <v>October</v>
      </c>
      <c r="I243" s="54">
        <f ca="1">DATEDIF(G243,TODAY(),"Y")</f>
        <v>18</v>
      </c>
      <c r="J243" s="55" t="s">
        <v>257</v>
      </c>
      <c r="K243" s="56">
        <v>33210</v>
      </c>
      <c r="L243" s="57">
        <v>4</v>
      </c>
    </row>
    <row r="244" spans="1:12" ht="15" x14ac:dyDescent="0.25">
      <c r="A244" s="42" t="s">
        <v>869</v>
      </c>
      <c r="B244" s="49" t="s">
        <v>271</v>
      </c>
      <c r="C244" s="42" t="s">
        <v>465</v>
      </c>
      <c r="D244" s="75">
        <v>820244290</v>
      </c>
      <c r="E244" s="76">
        <v>9194944596</v>
      </c>
      <c r="F244" s="42" t="s">
        <v>247</v>
      </c>
      <c r="G244" s="84">
        <v>33979</v>
      </c>
      <c r="H244" s="108" t="str">
        <f>CHOOSE(MONTH(G244),"January","February","March","April","May","June","July","August","September","October","November","December")</f>
        <v>January</v>
      </c>
      <c r="I244" s="54">
        <f ca="1">DATEDIF(G244,TODAY(),"Y")</f>
        <v>23</v>
      </c>
      <c r="J244" s="55"/>
      <c r="K244" s="56">
        <v>73990</v>
      </c>
      <c r="L244" s="57">
        <v>3</v>
      </c>
    </row>
    <row r="245" spans="1:12" ht="15" x14ac:dyDescent="0.25">
      <c r="A245" s="42" t="s">
        <v>709</v>
      </c>
      <c r="B245" s="49" t="s">
        <v>285</v>
      </c>
      <c r="C245" s="42" t="s">
        <v>465</v>
      </c>
      <c r="D245" s="75">
        <v>243062914</v>
      </c>
      <c r="E245" s="76">
        <v>9194018412</v>
      </c>
      <c r="F245" s="42" t="s">
        <v>256</v>
      </c>
      <c r="G245" s="84">
        <v>35199</v>
      </c>
      <c r="H245" s="108" t="str">
        <f>CHOOSE(MONTH(G245),"January","February","March","April","May","June","July","August","September","October","November","December")</f>
        <v>May</v>
      </c>
      <c r="I245" s="54">
        <f ca="1">DATEDIF(G245,TODAY(),"Y")</f>
        <v>20</v>
      </c>
      <c r="J245" s="55" t="s">
        <v>257</v>
      </c>
      <c r="K245" s="56">
        <v>73450</v>
      </c>
      <c r="L245" s="57">
        <v>3</v>
      </c>
    </row>
    <row r="246" spans="1:12" ht="15" x14ac:dyDescent="0.25">
      <c r="A246" s="42" t="s">
        <v>789</v>
      </c>
      <c r="B246" s="49" t="s">
        <v>271</v>
      </c>
      <c r="C246" s="42" t="s">
        <v>465</v>
      </c>
      <c r="D246" s="75">
        <v>506577536</v>
      </c>
      <c r="E246" s="76">
        <v>2524999647</v>
      </c>
      <c r="F246" s="42" t="s">
        <v>252</v>
      </c>
      <c r="G246" s="84">
        <v>36305</v>
      </c>
      <c r="H246" s="108" t="str">
        <f>CHOOSE(MONTH(G246),"January","February","March","April","May","June","July","August","September","October","November","December")</f>
        <v>May</v>
      </c>
      <c r="I246" s="54">
        <f ca="1">DATEDIF(G246,TODAY(),"Y")</f>
        <v>17</v>
      </c>
      <c r="J246" s="55"/>
      <c r="K246" s="56">
        <v>9424</v>
      </c>
      <c r="L246" s="57">
        <v>4</v>
      </c>
    </row>
    <row r="247" spans="1:12" ht="15" x14ac:dyDescent="0.25">
      <c r="A247" s="42" t="s">
        <v>652</v>
      </c>
      <c r="B247" s="49" t="s">
        <v>245</v>
      </c>
      <c r="C247" s="42" t="s">
        <v>465</v>
      </c>
      <c r="D247" s="75">
        <v>488831244</v>
      </c>
      <c r="E247" s="76">
        <v>9198979762</v>
      </c>
      <c r="F247" s="42" t="s">
        <v>261</v>
      </c>
      <c r="G247" s="84">
        <v>37620</v>
      </c>
      <c r="H247" s="108" t="str">
        <f>CHOOSE(MONTH(G247),"January","February","March","April","May","June","July","August","September","October","November","December")</f>
        <v>December</v>
      </c>
      <c r="I247" s="54">
        <f ca="1">DATEDIF(G247,TODAY(),"Y")</f>
        <v>13</v>
      </c>
      <c r="J247" s="55" t="s">
        <v>257</v>
      </c>
      <c r="K247" s="56">
        <v>24460</v>
      </c>
      <c r="L247" s="57">
        <v>1</v>
      </c>
    </row>
    <row r="248" spans="1:12" ht="15" x14ac:dyDescent="0.25">
      <c r="A248" s="42" t="s">
        <v>585</v>
      </c>
      <c r="B248" s="49" t="s">
        <v>245</v>
      </c>
      <c r="C248" s="42" t="s">
        <v>465</v>
      </c>
      <c r="D248" s="75">
        <v>612295735</v>
      </c>
      <c r="E248" s="76">
        <v>9195228292</v>
      </c>
      <c r="F248" s="42" t="s">
        <v>256</v>
      </c>
      <c r="G248" s="84">
        <v>35511</v>
      </c>
      <c r="H248" s="108" t="str">
        <f>CHOOSE(MONTH(G248),"January","February","March","April","May","June","July","August","September","October","November","December")</f>
        <v>March</v>
      </c>
      <c r="I248" s="54">
        <f ca="1">DATEDIF(G248,TODAY(),"Y")</f>
        <v>19</v>
      </c>
      <c r="J248" s="55" t="s">
        <v>283</v>
      </c>
      <c r="K248" s="56">
        <v>73144</v>
      </c>
      <c r="L248" s="57">
        <v>5</v>
      </c>
    </row>
    <row r="249" spans="1:12" ht="15" x14ac:dyDescent="0.25">
      <c r="A249" s="42" t="s">
        <v>640</v>
      </c>
      <c r="B249" s="49" t="s">
        <v>285</v>
      </c>
      <c r="C249" s="42" t="s">
        <v>465</v>
      </c>
      <c r="D249" s="75">
        <v>561737107</v>
      </c>
      <c r="E249" s="76">
        <v>9198294156</v>
      </c>
      <c r="F249" s="42" t="s">
        <v>256</v>
      </c>
      <c r="G249" s="84">
        <v>35024</v>
      </c>
      <c r="H249" s="108" t="str">
        <f>CHOOSE(MONTH(G249),"January","February","March","April","May","June","July","August","September","October","November","December")</f>
        <v>November</v>
      </c>
      <c r="I249" s="54">
        <f ca="1">DATEDIF(G249,TODAY(),"Y")</f>
        <v>20</v>
      </c>
      <c r="J249" s="55" t="s">
        <v>283</v>
      </c>
      <c r="K249" s="56">
        <v>73072</v>
      </c>
      <c r="L249" s="57">
        <v>5</v>
      </c>
    </row>
    <row r="250" spans="1:12" ht="15" x14ac:dyDescent="0.25">
      <c r="A250" s="42" t="s">
        <v>623</v>
      </c>
      <c r="B250" s="49" t="s">
        <v>245</v>
      </c>
      <c r="C250" s="42" t="s">
        <v>465</v>
      </c>
      <c r="D250" s="75">
        <v>466947318</v>
      </c>
      <c r="E250" s="76">
        <v>9191765611</v>
      </c>
      <c r="F250" s="42" t="s">
        <v>256</v>
      </c>
      <c r="G250" s="84">
        <v>40578</v>
      </c>
      <c r="H250" s="108" t="str">
        <f>CHOOSE(MONTH(G250),"January","February","March","April","May","June","July","August","September","October","November","December")</f>
        <v>February</v>
      </c>
      <c r="I250" s="54">
        <f ca="1">DATEDIF(G250,TODAY(),"Y")</f>
        <v>5</v>
      </c>
      <c r="J250" s="55" t="s">
        <v>257</v>
      </c>
      <c r="K250" s="56">
        <v>43820</v>
      </c>
      <c r="L250" s="57">
        <v>2</v>
      </c>
    </row>
    <row r="251" spans="1:12" ht="15" x14ac:dyDescent="0.25">
      <c r="A251" s="42" t="s">
        <v>804</v>
      </c>
      <c r="B251" s="49" t="s">
        <v>285</v>
      </c>
      <c r="C251" s="42" t="s">
        <v>465</v>
      </c>
      <c r="D251" s="75">
        <v>542653222</v>
      </c>
      <c r="E251" s="76">
        <v>9193708610</v>
      </c>
      <c r="F251" s="42" t="s">
        <v>247</v>
      </c>
      <c r="G251" s="84">
        <v>35997</v>
      </c>
      <c r="H251" s="108" t="str">
        <f>CHOOSE(MONTH(G251),"January","February","March","April","May","June","July","August","September","October","November","December")</f>
        <v>July</v>
      </c>
      <c r="I251" s="54">
        <f ca="1">DATEDIF(G251,TODAY(),"Y")</f>
        <v>18</v>
      </c>
      <c r="J251" s="55"/>
      <c r="K251" s="56">
        <v>72520</v>
      </c>
      <c r="L251" s="57">
        <v>3</v>
      </c>
    </row>
    <row r="252" spans="1:12" ht="15" x14ac:dyDescent="0.25">
      <c r="A252" s="42" t="s">
        <v>304</v>
      </c>
      <c r="B252" s="49" t="s">
        <v>280</v>
      </c>
      <c r="C252" s="42" t="s">
        <v>465</v>
      </c>
      <c r="D252" s="75">
        <v>366740174</v>
      </c>
      <c r="E252" s="76">
        <v>2521549933</v>
      </c>
      <c r="F252" s="42" t="s">
        <v>252</v>
      </c>
      <c r="G252" s="84">
        <v>34165</v>
      </c>
      <c r="H252" s="108" t="str">
        <f>CHOOSE(MONTH(G252),"January","February","March","April","May","June","July","August","September","October","November","December")</f>
        <v>July</v>
      </c>
      <c r="I252" s="54">
        <f ca="1">DATEDIF(G252,TODAY(),"Y")</f>
        <v>23</v>
      </c>
      <c r="J252" s="55"/>
      <c r="K252" s="56">
        <v>30416</v>
      </c>
      <c r="L252" s="57">
        <v>1</v>
      </c>
    </row>
    <row r="253" spans="1:12" ht="15" x14ac:dyDescent="0.25">
      <c r="A253" s="42" t="s">
        <v>1010</v>
      </c>
      <c r="B253" s="49" t="s">
        <v>245</v>
      </c>
      <c r="C253" s="42" t="s">
        <v>465</v>
      </c>
      <c r="D253" s="75">
        <v>661850671</v>
      </c>
      <c r="E253" s="76">
        <v>2528405900</v>
      </c>
      <c r="F253" s="42" t="s">
        <v>252</v>
      </c>
      <c r="G253" s="84">
        <v>35829</v>
      </c>
      <c r="H253" s="108" t="str">
        <f>CHOOSE(MONTH(G253),"January","February","March","April","May","June","July","August","September","October","November","December")</f>
        <v>February</v>
      </c>
      <c r="I253" s="54">
        <f ca="1">DATEDIF(G253,TODAY(),"Y")</f>
        <v>18</v>
      </c>
      <c r="J253" s="55"/>
      <c r="K253" s="56">
        <v>29176</v>
      </c>
      <c r="L253" s="57">
        <v>3</v>
      </c>
    </row>
    <row r="254" spans="1:12" ht="15" x14ac:dyDescent="0.25">
      <c r="A254" s="42" t="s">
        <v>988</v>
      </c>
      <c r="B254" s="49" t="s">
        <v>245</v>
      </c>
      <c r="C254" s="42" t="s">
        <v>465</v>
      </c>
      <c r="D254" s="75">
        <v>361925033</v>
      </c>
      <c r="E254" s="76">
        <v>9196633751</v>
      </c>
      <c r="F254" s="42" t="s">
        <v>247</v>
      </c>
      <c r="G254" s="84">
        <v>38289</v>
      </c>
      <c r="H254" s="108" t="str">
        <f>CHOOSE(MONTH(G254),"January","February","March","April","May","June","July","August","September","October","November","December")</f>
        <v>October</v>
      </c>
      <c r="I254" s="54">
        <f ca="1">DATEDIF(G254,TODAY(),"Y")</f>
        <v>12</v>
      </c>
      <c r="J254" s="55"/>
      <c r="K254" s="56">
        <v>71830</v>
      </c>
      <c r="L254" s="57">
        <v>3</v>
      </c>
    </row>
    <row r="255" spans="1:12" ht="15" x14ac:dyDescent="0.25">
      <c r="A255" s="42" t="s">
        <v>890</v>
      </c>
      <c r="B255" s="49" t="s">
        <v>285</v>
      </c>
      <c r="C255" s="42" t="s">
        <v>465</v>
      </c>
      <c r="D255" s="75">
        <v>725801036</v>
      </c>
      <c r="E255" s="76">
        <v>9195089157</v>
      </c>
      <c r="F255" s="42" t="s">
        <v>247</v>
      </c>
      <c r="G255" s="84">
        <v>35972</v>
      </c>
      <c r="H255" s="108" t="str">
        <f>CHOOSE(MONTH(G255),"January","February","March","April","May","June","July","August","September","October","November","December")</f>
        <v>June</v>
      </c>
      <c r="I255" s="54">
        <f ca="1">DATEDIF(G255,TODAY(),"Y")</f>
        <v>18</v>
      </c>
      <c r="J255" s="55"/>
      <c r="K255" s="56">
        <v>71710</v>
      </c>
      <c r="L255" s="57">
        <v>5</v>
      </c>
    </row>
    <row r="256" spans="1:12" ht="15" x14ac:dyDescent="0.25">
      <c r="A256" s="42" t="s">
        <v>634</v>
      </c>
      <c r="B256" s="49" t="s">
        <v>271</v>
      </c>
      <c r="C256" s="42" t="s">
        <v>465</v>
      </c>
      <c r="D256" s="75">
        <v>930314379</v>
      </c>
      <c r="E256" s="76">
        <v>2524854867</v>
      </c>
      <c r="F256" s="42" t="s">
        <v>256</v>
      </c>
      <c r="G256" s="84">
        <v>39390</v>
      </c>
      <c r="H256" s="108" t="str">
        <f>CHOOSE(MONTH(G256),"January","February","March","April","May","June","July","August","September","October","November","December")</f>
        <v>November</v>
      </c>
      <c r="I256" s="54">
        <f ca="1">DATEDIF(G256,TODAY(),"Y")</f>
        <v>9</v>
      </c>
      <c r="J256" s="55" t="s">
        <v>267</v>
      </c>
      <c r="K256" s="56">
        <v>71490</v>
      </c>
      <c r="L256" s="57">
        <v>5</v>
      </c>
    </row>
    <row r="257" spans="1:12" ht="15" x14ac:dyDescent="0.25">
      <c r="A257" s="42" t="s">
        <v>587</v>
      </c>
      <c r="B257" s="49" t="s">
        <v>245</v>
      </c>
      <c r="C257" s="42" t="s">
        <v>465</v>
      </c>
      <c r="D257" s="75">
        <v>354619285</v>
      </c>
      <c r="E257" s="76">
        <v>2526657361</v>
      </c>
      <c r="F257" s="42" t="s">
        <v>256</v>
      </c>
      <c r="G257" s="84">
        <v>36122</v>
      </c>
      <c r="H257" s="108" t="str">
        <f>CHOOSE(MONTH(G257),"January","February","March","April","May","June","July","August","September","October","November","December")</f>
        <v>November</v>
      </c>
      <c r="I257" s="54">
        <f ca="1">DATEDIF(G257,TODAY(),"Y")</f>
        <v>17</v>
      </c>
      <c r="J257" s="55" t="s">
        <v>262</v>
      </c>
      <c r="K257" s="56">
        <v>22660</v>
      </c>
      <c r="L257" s="57">
        <v>2</v>
      </c>
    </row>
    <row r="258" spans="1:12" ht="15" x14ac:dyDescent="0.25">
      <c r="A258" s="42" t="s">
        <v>315</v>
      </c>
      <c r="B258" s="49" t="s">
        <v>266</v>
      </c>
      <c r="C258" s="42" t="s">
        <v>465</v>
      </c>
      <c r="D258" s="75">
        <v>858800513</v>
      </c>
      <c r="E258" s="76">
        <v>9193547588</v>
      </c>
      <c r="F258" s="42" t="s">
        <v>256</v>
      </c>
      <c r="G258" s="84">
        <v>39312</v>
      </c>
      <c r="H258" s="108" t="str">
        <f>CHOOSE(MONTH(G258),"January","February","March","April","May","June","July","August","September","October","November","December")</f>
        <v>August</v>
      </c>
      <c r="I258" s="54">
        <f ca="1">DATEDIF(G258,TODAY(),"Y")</f>
        <v>9</v>
      </c>
      <c r="J258" s="55" t="s">
        <v>262</v>
      </c>
      <c r="K258" s="56">
        <v>71030</v>
      </c>
      <c r="L258" s="57">
        <v>3</v>
      </c>
    </row>
    <row r="259" spans="1:12" ht="15" x14ac:dyDescent="0.25">
      <c r="A259" s="42" t="s">
        <v>510</v>
      </c>
      <c r="B259" s="49" t="s">
        <v>266</v>
      </c>
      <c r="C259" s="42" t="s">
        <v>465</v>
      </c>
      <c r="D259" s="75">
        <v>590896401</v>
      </c>
      <c r="E259" s="76">
        <v>2523122603</v>
      </c>
      <c r="F259" s="42" t="s">
        <v>256</v>
      </c>
      <c r="G259" s="84">
        <v>38321</v>
      </c>
      <c r="H259" s="108" t="str">
        <f>CHOOSE(MONTH(G259),"January","February","March","April","May","June","July","August","September","October","November","December")</f>
        <v>November</v>
      </c>
      <c r="I259" s="54">
        <f ca="1">DATEDIF(G259,TODAY(),"Y")</f>
        <v>11</v>
      </c>
      <c r="J259" s="55" t="s">
        <v>262</v>
      </c>
      <c r="K259" s="56">
        <v>70760</v>
      </c>
      <c r="L259" s="57">
        <v>1</v>
      </c>
    </row>
    <row r="260" spans="1:12" ht="15" x14ac:dyDescent="0.25">
      <c r="A260" s="42" t="s">
        <v>742</v>
      </c>
      <c r="B260" s="49" t="s">
        <v>245</v>
      </c>
      <c r="C260" s="42" t="s">
        <v>465</v>
      </c>
      <c r="D260" s="75">
        <v>136620388</v>
      </c>
      <c r="E260" s="76">
        <v>9195119214</v>
      </c>
      <c r="F260" s="42" t="s">
        <v>256</v>
      </c>
      <c r="G260" s="84">
        <v>35714</v>
      </c>
      <c r="H260" s="108" t="str">
        <f>CHOOSE(MONTH(G260),"January","February","March","April","May","June","July","August","September","October","November","December")</f>
        <v>October</v>
      </c>
      <c r="I260" s="54">
        <f ca="1">DATEDIF(G260,TODAY(),"Y")</f>
        <v>19</v>
      </c>
      <c r="J260" s="55" t="s">
        <v>262</v>
      </c>
      <c r="K260" s="56">
        <v>70020</v>
      </c>
      <c r="L260" s="57">
        <v>3</v>
      </c>
    </row>
    <row r="261" spans="1:12" ht="15" x14ac:dyDescent="0.25">
      <c r="A261" s="42" t="s">
        <v>450</v>
      </c>
      <c r="B261" s="49" t="s">
        <v>251</v>
      </c>
      <c r="C261" s="42" t="s">
        <v>465</v>
      </c>
      <c r="D261" s="75">
        <v>624234626</v>
      </c>
      <c r="E261" s="76">
        <v>2523077504</v>
      </c>
      <c r="F261" s="42" t="s">
        <v>261</v>
      </c>
      <c r="G261" s="84">
        <v>35343</v>
      </c>
      <c r="H261" s="108" t="str">
        <f>CHOOSE(MONTH(G261),"January","February","March","April","May","June","July","August","September","October","November","December")</f>
        <v>October</v>
      </c>
      <c r="I261" s="54">
        <f ca="1">DATEDIF(G261,TODAY(),"Y")</f>
        <v>20</v>
      </c>
      <c r="J261" s="55" t="s">
        <v>257</v>
      </c>
      <c r="K261" s="56">
        <v>46645</v>
      </c>
      <c r="L261" s="57">
        <v>5</v>
      </c>
    </row>
    <row r="262" spans="1:12" ht="15" x14ac:dyDescent="0.25">
      <c r="A262" s="42" t="s">
        <v>879</v>
      </c>
      <c r="B262" s="49" t="s">
        <v>271</v>
      </c>
      <c r="C262" s="42" t="s">
        <v>465</v>
      </c>
      <c r="D262" s="75">
        <v>384454025</v>
      </c>
      <c r="E262" s="76">
        <v>2522064219</v>
      </c>
      <c r="F262" s="42" t="s">
        <v>247</v>
      </c>
      <c r="G262" s="84">
        <v>36455</v>
      </c>
      <c r="H262" s="108" t="str">
        <f>CHOOSE(MONTH(G262),"January","February","March","April","May","June","July","August","September","October","November","December")</f>
        <v>October</v>
      </c>
      <c r="I262" s="54">
        <f ca="1">DATEDIF(G262,TODAY(),"Y")</f>
        <v>17</v>
      </c>
      <c r="J262" s="55"/>
      <c r="K262" s="56">
        <v>23810</v>
      </c>
      <c r="L262" s="57">
        <v>4</v>
      </c>
    </row>
    <row r="263" spans="1:12" ht="15" x14ac:dyDescent="0.25">
      <c r="A263" s="42" t="s">
        <v>958</v>
      </c>
      <c r="B263" s="49" t="s">
        <v>271</v>
      </c>
      <c r="C263" s="42" t="s">
        <v>465</v>
      </c>
      <c r="D263" s="75">
        <v>415299442</v>
      </c>
      <c r="E263" s="76">
        <v>2521408985</v>
      </c>
      <c r="F263" s="42" t="s">
        <v>256</v>
      </c>
      <c r="G263" s="84">
        <v>39696</v>
      </c>
      <c r="H263" s="108" t="str">
        <f>CHOOSE(MONTH(G263),"January","February","March","April","May","June","July","August","September","October","November","December")</f>
        <v>September</v>
      </c>
      <c r="I263" s="54">
        <f ca="1">DATEDIF(G263,TODAY(),"Y")</f>
        <v>8</v>
      </c>
      <c r="J263" s="55" t="s">
        <v>257</v>
      </c>
      <c r="K263" s="56">
        <v>69320</v>
      </c>
      <c r="L263" s="57">
        <v>3</v>
      </c>
    </row>
    <row r="264" spans="1:12" ht="15" x14ac:dyDescent="0.25">
      <c r="A264" s="42" t="s">
        <v>1000</v>
      </c>
      <c r="B264" s="49" t="s">
        <v>271</v>
      </c>
      <c r="C264" s="42" t="s">
        <v>465</v>
      </c>
      <c r="D264" s="75">
        <v>468053610</v>
      </c>
      <c r="E264" s="76">
        <v>2525344270</v>
      </c>
      <c r="F264" s="42" t="s">
        <v>256</v>
      </c>
      <c r="G264" s="84">
        <v>37509</v>
      </c>
      <c r="H264" s="108" t="str">
        <f>CHOOSE(MONTH(G264),"January","February","March","April","May","June","July","August","September","October","November","December")</f>
        <v>September</v>
      </c>
      <c r="I264" s="54">
        <f ca="1">DATEDIF(G264,TODAY(),"Y")</f>
        <v>14</v>
      </c>
      <c r="J264" s="55" t="s">
        <v>283</v>
      </c>
      <c r="K264" s="56">
        <v>69080</v>
      </c>
      <c r="L264" s="57">
        <v>3</v>
      </c>
    </row>
    <row r="265" spans="1:12" ht="15" x14ac:dyDescent="0.25">
      <c r="A265" s="42" t="s">
        <v>749</v>
      </c>
      <c r="B265" s="49" t="s">
        <v>280</v>
      </c>
      <c r="C265" s="42" t="s">
        <v>465</v>
      </c>
      <c r="D265" s="75">
        <v>993383806</v>
      </c>
      <c r="E265" s="76">
        <v>2521810581</v>
      </c>
      <c r="F265" s="42" t="s">
        <v>252</v>
      </c>
      <c r="G265" s="84">
        <v>36067</v>
      </c>
      <c r="H265" s="108" t="str">
        <f>CHOOSE(MONTH(G265),"January","February","March","April","May","June","July","August","September","October","November","December")</f>
        <v>September</v>
      </c>
      <c r="I265" s="54">
        <f ca="1">DATEDIF(G265,TODAY(),"Y")</f>
        <v>18</v>
      </c>
      <c r="J265" s="55"/>
      <c r="K265" s="56">
        <v>37612</v>
      </c>
      <c r="L265" s="57">
        <v>4</v>
      </c>
    </row>
    <row r="266" spans="1:12" ht="15" x14ac:dyDescent="0.25">
      <c r="A266" s="42" t="s">
        <v>654</v>
      </c>
      <c r="B266" s="49" t="s">
        <v>245</v>
      </c>
      <c r="C266" s="42" t="s">
        <v>465</v>
      </c>
      <c r="D266" s="75">
        <v>328787467</v>
      </c>
      <c r="E266" s="76">
        <v>9194897618</v>
      </c>
      <c r="F266" s="42" t="s">
        <v>252</v>
      </c>
      <c r="G266" s="84">
        <v>39087</v>
      </c>
      <c r="H266" s="108" t="str">
        <f>CHOOSE(MONTH(G266),"January","February","March","April","May","June","July","August","September","October","November","December")</f>
        <v>January</v>
      </c>
      <c r="I266" s="54">
        <f ca="1">DATEDIF(G266,TODAY(),"Y")</f>
        <v>9</v>
      </c>
      <c r="J266" s="55"/>
      <c r="K266" s="56">
        <v>14416</v>
      </c>
      <c r="L266" s="57">
        <v>4</v>
      </c>
    </row>
    <row r="267" spans="1:12" ht="15" x14ac:dyDescent="0.25">
      <c r="A267" s="42" t="s">
        <v>665</v>
      </c>
      <c r="B267" s="49" t="s">
        <v>280</v>
      </c>
      <c r="C267" s="42" t="s">
        <v>465</v>
      </c>
      <c r="D267" s="75">
        <v>177332873</v>
      </c>
      <c r="E267" s="76">
        <v>9195915044</v>
      </c>
      <c r="F267" s="42" t="s">
        <v>256</v>
      </c>
      <c r="G267" s="84">
        <v>36413</v>
      </c>
      <c r="H267" s="108" t="str">
        <f>CHOOSE(MONTH(G267),"January","February","March","April","May","June","July","August","September","October","November","December")</f>
        <v>September</v>
      </c>
      <c r="I267" s="54">
        <f ca="1">DATEDIF(G267,TODAY(),"Y")</f>
        <v>17</v>
      </c>
      <c r="J267" s="55" t="s">
        <v>257</v>
      </c>
      <c r="K267" s="56">
        <v>40060</v>
      </c>
      <c r="L267" s="57">
        <v>3</v>
      </c>
    </row>
    <row r="268" spans="1:12" ht="15" x14ac:dyDescent="0.25">
      <c r="A268" s="42" t="s">
        <v>885</v>
      </c>
      <c r="B268" s="49" t="s">
        <v>285</v>
      </c>
      <c r="C268" s="42" t="s">
        <v>465</v>
      </c>
      <c r="D268" s="75">
        <v>475517002</v>
      </c>
      <c r="E268" s="76">
        <v>2523909820</v>
      </c>
      <c r="F268" s="42" t="s">
        <v>256</v>
      </c>
      <c r="G268" s="84">
        <v>36318</v>
      </c>
      <c r="H268" s="108" t="str">
        <f>CHOOSE(MONTH(G268),"January","February","March","April","May","June","July","August","September","October","November","December")</f>
        <v>June</v>
      </c>
      <c r="I268" s="54">
        <f ca="1">DATEDIF(G268,TODAY(),"Y")</f>
        <v>17</v>
      </c>
      <c r="J268" s="55" t="s">
        <v>283</v>
      </c>
      <c r="K268" s="56">
        <v>68750</v>
      </c>
      <c r="L268" s="57">
        <v>1</v>
      </c>
    </row>
    <row r="269" spans="1:12" ht="15" x14ac:dyDescent="0.25">
      <c r="A269" s="42" t="s">
        <v>1029</v>
      </c>
      <c r="B269" s="49" t="s">
        <v>285</v>
      </c>
      <c r="C269" s="42" t="s">
        <v>465</v>
      </c>
      <c r="D269" s="75">
        <v>378281658</v>
      </c>
      <c r="E269" s="76">
        <v>9196705508</v>
      </c>
      <c r="F269" s="42" t="s">
        <v>247</v>
      </c>
      <c r="G269" s="84">
        <v>38073</v>
      </c>
      <c r="H269" s="108" t="str">
        <f>CHOOSE(MONTH(G269),"January","February","March","April","May","June","July","August","September","October","November","December")</f>
        <v>March</v>
      </c>
      <c r="I269" s="54">
        <f ca="1">DATEDIF(G269,TODAY(),"Y")</f>
        <v>12</v>
      </c>
      <c r="J269" s="55"/>
      <c r="K269" s="56">
        <v>39300</v>
      </c>
      <c r="L269" s="57">
        <v>2</v>
      </c>
    </row>
    <row r="270" spans="1:12" ht="15" x14ac:dyDescent="0.25">
      <c r="A270" s="42" t="s">
        <v>748</v>
      </c>
      <c r="B270" s="49" t="s">
        <v>245</v>
      </c>
      <c r="C270" s="42" t="s">
        <v>465</v>
      </c>
      <c r="D270" s="75">
        <v>405396173</v>
      </c>
      <c r="E270" s="76">
        <v>2521777060</v>
      </c>
      <c r="F270" s="42" t="s">
        <v>256</v>
      </c>
      <c r="G270" s="84">
        <v>38733</v>
      </c>
      <c r="H270" s="108" t="str">
        <f>CHOOSE(MONTH(G270),"January","February","March","April","May","June","July","August","September","October","November","December")</f>
        <v>January</v>
      </c>
      <c r="I270" s="54">
        <f ca="1">DATEDIF(G270,TODAY(),"Y")</f>
        <v>10</v>
      </c>
      <c r="J270" s="55" t="s">
        <v>276</v>
      </c>
      <c r="K270" s="56">
        <v>68710</v>
      </c>
      <c r="L270" s="57">
        <v>4</v>
      </c>
    </row>
    <row r="271" spans="1:12" ht="15" x14ac:dyDescent="0.25">
      <c r="A271" s="42" t="s">
        <v>1012</v>
      </c>
      <c r="B271" s="49" t="s">
        <v>285</v>
      </c>
      <c r="C271" s="42" t="s">
        <v>465</v>
      </c>
      <c r="D271" s="75">
        <v>635767088</v>
      </c>
      <c r="E271" s="76">
        <v>2522153322</v>
      </c>
      <c r="F271" s="42" t="s">
        <v>247</v>
      </c>
      <c r="G271" s="84">
        <v>36977</v>
      </c>
      <c r="H271" s="108" t="str">
        <f>CHOOSE(MONTH(G271),"January","February","March","April","May","June","July","August","September","October","November","December")</f>
        <v>March</v>
      </c>
      <c r="I271" s="54">
        <f ca="1">DATEDIF(G271,TODAY(),"Y")</f>
        <v>15</v>
      </c>
      <c r="J271" s="55"/>
      <c r="K271" s="56">
        <v>68510</v>
      </c>
      <c r="L271" s="57">
        <v>5</v>
      </c>
    </row>
    <row r="272" spans="1:12" ht="15" x14ac:dyDescent="0.25">
      <c r="A272" s="42" t="s">
        <v>681</v>
      </c>
      <c r="B272" s="49" t="s">
        <v>285</v>
      </c>
      <c r="C272" s="42" t="s">
        <v>465</v>
      </c>
      <c r="D272" s="75">
        <v>337943008</v>
      </c>
      <c r="E272" s="76">
        <v>2521257896</v>
      </c>
      <c r="F272" s="42" t="s">
        <v>256</v>
      </c>
      <c r="G272" s="84">
        <v>37394</v>
      </c>
      <c r="H272" s="108" t="str">
        <f>CHOOSE(MONTH(G272),"January","February","March","April","May","June","July","August","September","October","November","December")</f>
        <v>May</v>
      </c>
      <c r="I272" s="54">
        <f ca="1">DATEDIF(G272,TODAY(),"Y")</f>
        <v>14</v>
      </c>
      <c r="J272" s="55" t="s">
        <v>257</v>
      </c>
      <c r="K272" s="56">
        <v>28970</v>
      </c>
      <c r="L272" s="57">
        <v>3</v>
      </c>
    </row>
    <row r="273" spans="1:12" ht="15" x14ac:dyDescent="0.25">
      <c r="A273" s="42" t="s">
        <v>502</v>
      </c>
      <c r="B273" s="49" t="s">
        <v>271</v>
      </c>
      <c r="C273" s="42" t="s">
        <v>465</v>
      </c>
      <c r="D273" s="75">
        <v>332289257</v>
      </c>
      <c r="E273" s="76">
        <v>9198367725</v>
      </c>
      <c r="F273" s="42" t="s">
        <v>247</v>
      </c>
      <c r="G273" s="84">
        <v>35992</v>
      </c>
      <c r="H273" s="108" t="str">
        <f>CHOOSE(MONTH(G273),"January","February","March","April","May","June","July","August","September","October","November","December")</f>
        <v>July</v>
      </c>
      <c r="I273" s="54">
        <f ca="1">DATEDIF(G273,TODAY(),"Y")</f>
        <v>18</v>
      </c>
      <c r="J273" s="55"/>
      <c r="K273" s="56">
        <v>68260</v>
      </c>
      <c r="L273" s="57">
        <v>5</v>
      </c>
    </row>
    <row r="274" spans="1:12" ht="15" x14ac:dyDescent="0.25">
      <c r="A274" s="42" t="s">
        <v>538</v>
      </c>
      <c r="B274" s="49" t="s">
        <v>280</v>
      </c>
      <c r="C274" s="42" t="s">
        <v>465</v>
      </c>
      <c r="D274" s="75">
        <v>647552282</v>
      </c>
      <c r="E274" s="76">
        <v>9193392642</v>
      </c>
      <c r="F274" s="42" t="s">
        <v>247</v>
      </c>
      <c r="G274" s="84">
        <v>34265</v>
      </c>
      <c r="H274" s="108" t="str">
        <f>CHOOSE(MONTH(G274),"January","February","March","April","May","June","July","August","September","October","November","December")</f>
        <v>October</v>
      </c>
      <c r="I274" s="54">
        <f ca="1">DATEDIF(G274,TODAY(),"Y")</f>
        <v>23</v>
      </c>
      <c r="J274" s="55"/>
      <c r="K274" s="56">
        <v>35460</v>
      </c>
      <c r="L274" s="57">
        <v>3</v>
      </c>
    </row>
    <row r="275" spans="1:12" ht="15" x14ac:dyDescent="0.25">
      <c r="A275" s="42" t="s">
        <v>687</v>
      </c>
      <c r="B275" s="49" t="s">
        <v>245</v>
      </c>
      <c r="C275" s="42" t="s">
        <v>465</v>
      </c>
      <c r="D275" s="75">
        <v>772163640</v>
      </c>
      <c r="E275" s="76">
        <v>9192474315</v>
      </c>
      <c r="F275" s="42" t="s">
        <v>256</v>
      </c>
      <c r="G275" s="84">
        <v>36444</v>
      </c>
      <c r="H275" s="108" t="str">
        <f>CHOOSE(MONTH(G275),"January","February","March","April","May","June","July","August","September","October","November","December")</f>
        <v>October</v>
      </c>
      <c r="I275" s="54">
        <f ca="1">DATEDIF(G275,TODAY(),"Y")</f>
        <v>17</v>
      </c>
      <c r="J275" s="55" t="s">
        <v>257</v>
      </c>
      <c r="K275" s="56">
        <v>67280</v>
      </c>
      <c r="L275" s="57">
        <v>3</v>
      </c>
    </row>
    <row r="276" spans="1:12" ht="15" x14ac:dyDescent="0.25">
      <c r="A276" s="42" t="s">
        <v>669</v>
      </c>
      <c r="B276" s="49" t="s">
        <v>285</v>
      </c>
      <c r="C276" s="42" t="s">
        <v>465</v>
      </c>
      <c r="D276" s="75">
        <v>565952209</v>
      </c>
      <c r="E276" s="76">
        <v>2522889972</v>
      </c>
      <c r="F276" s="42" t="s">
        <v>256</v>
      </c>
      <c r="G276" s="84">
        <v>34971</v>
      </c>
      <c r="H276" s="108" t="str">
        <f>CHOOSE(MONTH(G276),"January","February","March","April","May","June","July","August","September","October","November","December")</f>
        <v>September</v>
      </c>
      <c r="I276" s="54">
        <f ca="1">DATEDIF(G276,TODAY(),"Y")</f>
        <v>21</v>
      </c>
      <c r="J276" s="55" t="s">
        <v>283</v>
      </c>
      <c r="K276" s="56">
        <v>67050</v>
      </c>
      <c r="L276" s="57">
        <v>4</v>
      </c>
    </row>
    <row r="277" spans="1:12" ht="15" x14ac:dyDescent="0.25">
      <c r="A277" s="48" t="s">
        <v>279</v>
      </c>
      <c r="B277" s="49" t="s">
        <v>285</v>
      </c>
      <c r="C277" s="42" t="s">
        <v>465</v>
      </c>
      <c r="D277" s="75">
        <v>597131266</v>
      </c>
      <c r="E277" s="76">
        <v>9195043141</v>
      </c>
      <c r="F277" s="42" t="s">
        <v>256</v>
      </c>
      <c r="G277" s="84">
        <v>35703</v>
      </c>
      <c r="H277" s="108" t="str">
        <f>CHOOSE(MONTH(G277),"January","February","March","April","May","June","July","August","September","October","November","December")</f>
        <v>September</v>
      </c>
      <c r="I277" s="54">
        <f ca="1">DATEDIF(G277,TODAY(),"Y")</f>
        <v>19</v>
      </c>
      <c r="J277" s="55" t="s">
        <v>262</v>
      </c>
      <c r="K277" s="56">
        <v>66430</v>
      </c>
      <c r="L277" s="57">
        <v>2</v>
      </c>
    </row>
    <row r="278" spans="1:12" ht="15" x14ac:dyDescent="0.25">
      <c r="A278" s="42" t="s">
        <v>962</v>
      </c>
      <c r="B278" s="49" t="s">
        <v>285</v>
      </c>
      <c r="C278" s="42" t="s">
        <v>465</v>
      </c>
      <c r="D278" s="75">
        <v>894030119</v>
      </c>
      <c r="E278" s="76">
        <v>2528652588</v>
      </c>
      <c r="F278" s="42" t="s">
        <v>256</v>
      </c>
      <c r="G278" s="84">
        <v>37068</v>
      </c>
      <c r="H278" s="108" t="str">
        <f>CHOOSE(MONTH(G278),"January","February","March","April","May","June","July","August","September","October","November","December")</f>
        <v>June</v>
      </c>
      <c r="I278" s="54">
        <f ca="1">DATEDIF(G278,TODAY(),"Y")</f>
        <v>15</v>
      </c>
      <c r="J278" s="55" t="s">
        <v>262</v>
      </c>
      <c r="K278" s="56">
        <v>66010</v>
      </c>
      <c r="L278" s="57">
        <v>5</v>
      </c>
    </row>
    <row r="279" spans="1:12" ht="15" x14ac:dyDescent="0.25">
      <c r="A279" s="42" t="s">
        <v>628</v>
      </c>
      <c r="B279" s="49" t="s">
        <v>271</v>
      </c>
      <c r="C279" s="42" t="s">
        <v>465</v>
      </c>
      <c r="D279" s="75">
        <v>687006783</v>
      </c>
      <c r="E279" s="76">
        <v>2524919418</v>
      </c>
      <c r="F279" s="42" t="s">
        <v>247</v>
      </c>
      <c r="G279" s="84">
        <v>35379</v>
      </c>
      <c r="H279" s="108" t="str">
        <f>CHOOSE(MONTH(G279),"January","February","March","April","May","June","July","August","September","October","November","December")</f>
        <v>November</v>
      </c>
      <c r="I279" s="54">
        <f ca="1">DATEDIF(G279,TODAY(),"Y")</f>
        <v>19</v>
      </c>
      <c r="J279" s="55"/>
      <c r="K279" s="56">
        <v>66010</v>
      </c>
      <c r="L279" s="57">
        <v>2</v>
      </c>
    </row>
    <row r="280" spans="1:12" ht="15" x14ac:dyDescent="0.25">
      <c r="A280" s="42" t="s">
        <v>401</v>
      </c>
      <c r="B280" s="49" t="s">
        <v>285</v>
      </c>
      <c r="C280" s="42" t="s">
        <v>465</v>
      </c>
      <c r="D280" s="75">
        <v>914330398</v>
      </c>
      <c r="E280" s="76">
        <v>9193498222</v>
      </c>
      <c r="F280" s="42" t="s">
        <v>256</v>
      </c>
      <c r="G280" s="84">
        <v>38821</v>
      </c>
      <c r="H280" s="108" t="str">
        <f>CHOOSE(MONTH(G280),"January","February","March","April","May","June","July","August","September","October","November","December")</f>
        <v>April</v>
      </c>
      <c r="I280" s="54">
        <f ca="1">DATEDIF(G280,TODAY(),"Y")</f>
        <v>10</v>
      </c>
      <c r="J280" s="55" t="s">
        <v>283</v>
      </c>
      <c r="K280" s="56">
        <v>65720</v>
      </c>
      <c r="L280" s="57">
        <v>1</v>
      </c>
    </row>
    <row r="281" spans="1:12" ht="15" x14ac:dyDescent="0.25">
      <c r="A281" s="42" t="s">
        <v>782</v>
      </c>
      <c r="B281" s="49" t="s">
        <v>271</v>
      </c>
      <c r="C281" s="42" t="s">
        <v>465</v>
      </c>
      <c r="D281" s="75">
        <v>387517948</v>
      </c>
      <c r="E281" s="76">
        <v>9198213594</v>
      </c>
      <c r="F281" s="42" t="s">
        <v>256</v>
      </c>
      <c r="G281" s="84">
        <v>40634</v>
      </c>
      <c r="H281" s="108" t="str">
        <f>CHOOSE(MONTH(G281),"January","February","March","April","May","June","July","August","September","October","November","December")</f>
        <v>April</v>
      </c>
      <c r="I281" s="54">
        <f ca="1">DATEDIF(G281,TODAY(),"Y")</f>
        <v>5</v>
      </c>
      <c r="J281" s="55" t="s">
        <v>257</v>
      </c>
      <c r="K281" s="56">
        <v>47440</v>
      </c>
      <c r="L281" s="57">
        <v>3</v>
      </c>
    </row>
    <row r="282" spans="1:12" ht="15" x14ac:dyDescent="0.25">
      <c r="A282" s="42" t="s">
        <v>410</v>
      </c>
      <c r="B282" s="49" t="s">
        <v>271</v>
      </c>
      <c r="C282" s="42" t="s">
        <v>465</v>
      </c>
      <c r="D282" s="75">
        <v>147724014</v>
      </c>
      <c r="E282" s="76">
        <v>9192212512</v>
      </c>
      <c r="F282" s="42" t="s">
        <v>256</v>
      </c>
      <c r="G282" s="84">
        <v>35188</v>
      </c>
      <c r="H282" s="108" t="str">
        <f>CHOOSE(MONTH(G282),"January","February","March","April","May","June","July","August","September","October","November","December")</f>
        <v>May</v>
      </c>
      <c r="I282" s="54">
        <f ca="1">DATEDIF(G282,TODAY(),"Y")</f>
        <v>20</v>
      </c>
      <c r="J282" s="55" t="s">
        <v>283</v>
      </c>
      <c r="K282" s="56">
        <v>44270</v>
      </c>
      <c r="L282" s="57">
        <v>2</v>
      </c>
    </row>
    <row r="283" spans="1:12" ht="15" x14ac:dyDescent="0.25">
      <c r="A283" s="42" t="s">
        <v>537</v>
      </c>
      <c r="B283" s="49" t="s">
        <v>271</v>
      </c>
      <c r="C283" s="42" t="s">
        <v>465</v>
      </c>
      <c r="D283" s="75">
        <v>505966230</v>
      </c>
      <c r="E283" s="76">
        <v>9198038161</v>
      </c>
      <c r="F283" s="42" t="s">
        <v>256</v>
      </c>
      <c r="G283" s="84">
        <v>33993</v>
      </c>
      <c r="H283" s="108" t="str">
        <f>CHOOSE(MONTH(G283),"January","February","March","April","May","June","July","August","September","October","November","December")</f>
        <v>January</v>
      </c>
      <c r="I283" s="54">
        <f ca="1">DATEDIF(G283,TODAY(),"Y")</f>
        <v>23</v>
      </c>
      <c r="J283" s="55" t="s">
        <v>283</v>
      </c>
      <c r="K283" s="56">
        <v>45500</v>
      </c>
      <c r="L283" s="57">
        <v>3</v>
      </c>
    </row>
    <row r="284" spans="1:12" ht="15" x14ac:dyDescent="0.25">
      <c r="A284" s="42" t="s">
        <v>559</v>
      </c>
      <c r="B284" s="49" t="s">
        <v>245</v>
      </c>
      <c r="C284" s="42" t="s">
        <v>465</v>
      </c>
      <c r="D284" s="75">
        <v>427260216</v>
      </c>
      <c r="E284" s="76">
        <v>9198999194</v>
      </c>
      <c r="F284" s="42" t="s">
        <v>261</v>
      </c>
      <c r="G284" s="84">
        <v>34163</v>
      </c>
      <c r="H284" s="108" t="str">
        <f>CHOOSE(MONTH(G284),"January","February","March","April","May","June","July","August","September","October","November","December")</f>
        <v>July</v>
      </c>
      <c r="I284" s="54">
        <f ca="1">DATEDIF(G284,TODAY(),"Y")</f>
        <v>23</v>
      </c>
      <c r="J284" s="55" t="s">
        <v>262</v>
      </c>
      <c r="K284" s="56">
        <v>18895</v>
      </c>
      <c r="L284" s="57">
        <v>4</v>
      </c>
    </row>
    <row r="285" spans="1:12" ht="15" x14ac:dyDescent="0.25">
      <c r="A285" s="42" t="s">
        <v>316</v>
      </c>
      <c r="B285" s="49" t="s">
        <v>251</v>
      </c>
      <c r="C285" s="42" t="s">
        <v>465</v>
      </c>
      <c r="D285" s="75">
        <v>884025623</v>
      </c>
      <c r="E285" s="76">
        <v>2521280865</v>
      </c>
      <c r="F285" s="42" t="s">
        <v>247</v>
      </c>
      <c r="G285" s="84">
        <v>34031</v>
      </c>
      <c r="H285" s="108" t="str">
        <f>CHOOSE(MONTH(G285),"January","February","March","April","May","June","July","August","September","October","November","December")</f>
        <v>March</v>
      </c>
      <c r="I285" s="54">
        <f ca="1">DATEDIF(G285,TODAY(),"Y")</f>
        <v>23</v>
      </c>
      <c r="J285" s="55"/>
      <c r="K285" s="56">
        <v>64430</v>
      </c>
      <c r="L285" s="57">
        <v>4</v>
      </c>
    </row>
    <row r="286" spans="1:12" ht="15" x14ac:dyDescent="0.25">
      <c r="A286" s="42" t="s">
        <v>929</v>
      </c>
      <c r="B286" s="49" t="s">
        <v>266</v>
      </c>
      <c r="C286" s="42" t="s">
        <v>465</v>
      </c>
      <c r="D286" s="75">
        <v>378189642</v>
      </c>
      <c r="E286" s="76">
        <v>2526228199</v>
      </c>
      <c r="F286" s="42" t="s">
        <v>247</v>
      </c>
      <c r="G286" s="84">
        <v>37899</v>
      </c>
      <c r="H286" s="108" t="str">
        <f>CHOOSE(MONTH(G286),"January","February","March","April","May","June","July","August","September","October","November","December")</f>
        <v>October</v>
      </c>
      <c r="I286" s="54">
        <f ca="1">DATEDIF(G286,TODAY(),"Y")</f>
        <v>13</v>
      </c>
      <c r="J286" s="55"/>
      <c r="K286" s="56">
        <v>64220</v>
      </c>
      <c r="L286" s="57">
        <v>5</v>
      </c>
    </row>
    <row r="287" spans="1:12" ht="15" x14ac:dyDescent="0.25">
      <c r="A287" s="42" t="s">
        <v>608</v>
      </c>
      <c r="B287" s="49" t="s">
        <v>271</v>
      </c>
      <c r="C287" s="42" t="s">
        <v>465</v>
      </c>
      <c r="D287" s="75">
        <v>512405919</v>
      </c>
      <c r="E287" s="76">
        <v>9195858234</v>
      </c>
      <c r="F287" s="42" t="s">
        <v>256</v>
      </c>
      <c r="G287" s="84">
        <v>37436</v>
      </c>
      <c r="H287" s="108" t="str">
        <f>CHOOSE(MONTH(G287),"January","February","March","April","May","June","July","August","September","October","November","December")</f>
        <v>June</v>
      </c>
      <c r="I287" s="54">
        <f ca="1">DATEDIF(G287,TODAY(),"Y")</f>
        <v>14</v>
      </c>
      <c r="J287" s="55" t="s">
        <v>267</v>
      </c>
      <c r="K287" s="56">
        <v>64130</v>
      </c>
      <c r="L287" s="57">
        <v>1</v>
      </c>
    </row>
    <row r="288" spans="1:12" ht="15" x14ac:dyDescent="0.25">
      <c r="A288" s="42" t="s">
        <v>1018</v>
      </c>
      <c r="B288" s="49" t="s">
        <v>285</v>
      </c>
      <c r="C288" s="42" t="s">
        <v>465</v>
      </c>
      <c r="D288" s="75">
        <v>114005397</v>
      </c>
      <c r="E288" s="76">
        <v>2524694617</v>
      </c>
      <c r="F288" s="42" t="s">
        <v>247</v>
      </c>
      <c r="G288" s="84">
        <v>39189</v>
      </c>
      <c r="H288" s="108" t="str">
        <f>CHOOSE(MONTH(G288),"January","February","March","April","May","June","July","August","September","October","November","December")</f>
        <v>April</v>
      </c>
      <c r="I288" s="54">
        <f ca="1">DATEDIF(G288,TODAY(),"Y")</f>
        <v>9</v>
      </c>
      <c r="J288" s="55"/>
      <c r="K288" s="56">
        <v>63850</v>
      </c>
      <c r="L288" s="57">
        <v>2</v>
      </c>
    </row>
    <row r="289" spans="1:12" ht="15" x14ac:dyDescent="0.25">
      <c r="A289" s="42" t="s">
        <v>592</v>
      </c>
      <c r="B289" s="49" t="s">
        <v>280</v>
      </c>
      <c r="C289" s="42" t="s">
        <v>465</v>
      </c>
      <c r="D289" s="75">
        <v>396727504</v>
      </c>
      <c r="E289" s="76">
        <v>9193204992</v>
      </c>
      <c r="F289" s="42" t="s">
        <v>247</v>
      </c>
      <c r="G289" s="84">
        <v>36600</v>
      </c>
      <c r="H289" s="108" t="str">
        <f>CHOOSE(MONTH(G289),"January","February","March","April","May","June","July","August","September","October","November","December")</f>
        <v>March</v>
      </c>
      <c r="I289" s="54">
        <f ca="1">DATEDIF(G289,TODAY(),"Y")</f>
        <v>16</v>
      </c>
      <c r="J289" s="55"/>
      <c r="K289" s="56">
        <v>41840</v>
      </c>
      <c r="L289" s="57">
        <v>2</v>
      </c>
    </row>
    <row r="290" spans="1:12" ht="15" x14ac:dyDescent="0.25">
      <c r="A290" s="42" t="s">
        <v>663</v>
      </c>
      <c r="B290" s="49" t="s">
        <v>285</v>
      </c>
      <c r="C290" s="42" t="s">
        <v>465</v>
      </c>
      <c r="D290" s="75">
        <v>930282755</v>
      </c>
      <c r="E290" s="76">
        <v>9192380636</v>
      </c>
      <c r="F290" s="42" t="s">
        <v>261</v>
      </c>
      <c r="G290" s="84">
        <v>35189</v>
      </c>
      <c r="H290" s="108" t="str">
        <f>CHOOSE(MONTH(G290),"January","February","March","April","May","June","July","August","September","October","November","December")</f>
        <v>May</v>
      </c>
      <c r="I290" s="54">
        <f ca="1">DATEDIF(G290,TODAY(),"Y")</f>
        <v>20</v>
      </c>
      <c r="J290" s="55" t="s">
        <v>257</v>
      </c>
      <c r="K290" s="56">
        <v>46285</v>
      </c>
      <c r="L290" s="57">
        <v>5</v>
      </c>
    </row>
    <row r="291" spans="1:12" ht="15" x14ac:dyDescent="0.25">
      <c r="A291" s="42" t="s">
        <v>882</v>
      </c>
      <c r="B291" s="49" t="s">
        <v>271</v>
      </c>
      <c r="C291" s="42" t="s">
        <v>465</v>
      </c>
      <c r="D291" s="75">
        <v>280304785</v>
      </c>
      <c r="E291" s="76">
        <v>2525918708</v>
      </c>
      <c r="F291" s="42" t="s">
        <v>256</v>
      </c>
      <c r="G291" s="84">
        <v>35996</v>
      </c>
      <c r="H291" s="108" t="str">
        <f>CHOOSE(MONTH(G291),"January","February","March","April","May","June","July","August","September","October","November","December")</f>
        <v>July</v>
      </c>
      <c r="I291" s="54">
        <f ca="1">DATEDIF(G291,TODAY(),"Y")</f>
        <v>18</v>
      </c>
      <c r="J291" s="55" t="s">
        <v>257</v>
      </c>
      <c r="K291" s="56">
        <v>40340</v>
      </c>
      <c r="L291" s="57">
        <v>2</v>
      </c>
    </row>
    <row r="292" spans="1:12" ht="15" x14ac:dyDescent="0.25">
      <c r="A292" s="42" t="s">
        <v>604</v>
      </c>
      <c r="B292" s="49" t="s">
        <v>271</v>
      </c>
      <c r="C292" s="42" t="s">
        <v>465</v>
      </c>
      <c r="D292" s="75">
        <v>698869555</v>
      </c>
      <c r="E292" s="76">
        <v>2526052545</v>
      </c>
      <c r="F292" s="42" t="s">
        <v>261</v>
      </c>
      <c r="G292" s="84">
        <v>36503</v>
      </c>
      <c r="H292" s="108" t="str">
        <f>CHOOSE(MONTH(G292),"January","February","March","April","May","June","July","August","September","October","November","December")</f>
        <v>December</v>
      </c>
      <c r="I292" s="54">
        <f ca="1">DATEDIF(G292,TODAY(),"Y")</f>
        <v>16</v>
      </c>
      <c r="J292" s="55" t="s">
        <v>267</v>
      </c>
      <c r="K292" s="56">
        <v>41615</v>
      </c>
      <c r="L292" s="57">
        <v>1</v>
      </c>
    </row>
    <row r="293" spans="1:12" ht="15" x14ac:dyDescent="0.25">
      <c r="A293" s="42" t="s">
        <v>772</v>
      </c>
      <c r="B293" s="49" t="s">
        <v>285</v>
      </c>
      <c r="C293" s="42" t="s">
        <v>465</v>
      </c>
      <c r="D293" s="75">
        <v>251824309</v>
      </c>
      <c r="E293" s="76">
        <v>9197950668</v>
      </c>
      <c r="F293" s="42" t="s">
        <v>247</v>
      </c>
      <c r="G293" s="84">
        <v>36729</v>
      </c>
      <c r="H293" s="108" t="str">
        <f>CHOOSE(MONTH(G293),"January","February","March","April","May","June","July","August","September","October","November","December")</f>
        <v>July</v>
      </c>
      <c r="I293" s="54">
        <f ca="1">DATEDIF(G293,TODAY(),"Y")</f>
        <v>16</v>
      </c>
      <c r="J293" s="55"/>
      <c r="K293" s="56">
        <v>45420</v>
      </c>
      <c r="L293" s="57">
        <v>1</v>
      </c>
    </row>
    <row r="294" spans="1:12" ht="15" x14ac:dyDescent="0.25">
      <c r="A294" s="42" t="s">
        <v>346</v>
      </c>
      <c r="B294" s="49" t="s">
        <v>271</v>
      </c>
      <c r="C294" s="42" t="s">
        <v>465</v>
      </c>
      <c r="D294" s="75">
        <v>219245495</v>
      </c>
      <c r="E294" s="76">
        <v>9198256039</v>
      </c>
      <c r="F294" s="42" t="s">
        <v>247</v>
      </c>
      <c r="G294" s="84">
        <v>34425</v>
      </c>
      <c r="H294" s="108" t="str">
        <f>CHOOSE(MONTH(G294),"January","February","March","April","May","June","July","August","September","October","November","December")</f>
        <v>April</v>
      </c>
      <c r="I294" s="54">
        <f ca="1">DATEDIF(G294,TODAY(),"Y")</f>
        <v>22</v>
      </c>
      <c r="J294" s="55"/>
      <c r="K294" s="56">
        <v>63310</v>
      </c>
      <c r="L294" s="57">
        <v>3</v>
      </c>
    </row>
    <row r="295" spans="1:12" ht="15" x14ac:dyDescent="0.25">
      <c r="A295" s="42" t="s">
        <v>964</v>
      </c>
      <c r="B295" s="49" t="s">
        <v>245</v>
      </c>
      <c r="C295" s="42" t="s">
        <v>465</v>
      </c>
      <c r="D295" s="75">
        <v>865073824</v>
      </c>
      <c r="E295" s="76">
        <v>2524785979</v>
      </c>
      <c r="F295" s="42" t="s">
        <v>256</v>
      </c>
      <c r="G295" s="84">
        <v>34541</v>
      </c>
      <c r="H295" s="108" t="str">
        <f>CHOOSE(MONTH(G295),"January","February","March","April","May","June","July","August","September","October","November","December")</f>
        <v>July</v>
      </c>
      <c r="I295" s="54">
        <f ca="1">DATEDIF(G295,TODAY(),"Y")</f>
        <v>22</v>
      </c>
      <c r="J295" s="55" t="s">
        <v>276</v>
      </c>
      <c r="K295" s="56">
        <v>34480</v>
      </c>
      <c r="L295" s="57">
        <v>3</v>
      </c>
    </row>
    <row r="296" spans="1:12" ht="15" x14ac:dyDescent="0.25">
      <c r="A296" s="42" t="s">
        <v>785</v>
      </c>
      <c r="B296" s="49" t="s">
        <v>285</v>
      </c>
      <c r="C296" s="42" t="s">
        <v>465</v>
      </c>
      <c r="D296" s="75">
        <v>682500261</v>
      </c>
      <c r="E296" s="76">
        <v>9191163627</v>
      </c>
      <c r="F296" s="42" t="s">
        <v>256</v>
      </c>
      <c r="G296" s="84">
        <v>34881</v>
      </c>
      <c r="H296" s="108" t="str">
        <f>CHOOSE(MONTH(G296),"January","February","March","April","May","June","July","August","September","October","November","December")</f>
        <v>July</v>
      </c>
      <c r="I296" s="54">
        <f ca="1">DATEDIF(G296,TODAY(),"Y")</f>
        <v>21</v>
      </c>
      <c r="J296" s="55" t="s">
        <v>262</v>
      </c>
      <c r="K296" s="56">
        <v>63070</v>
      </c>
      <c r="L296" s="57">
        <v>1</v>
      </c>
    </row>
    <row r="297" spans="1:12" ht="15" x14ac:dyDescent="0.25">
      <c r="A297" s="42" t="s">
        <v>845</v>
      </c>
      <c r="B297" s="49" t="s">
        <v>280</v>
      </c>
      <c r="C297" s="42" t="s">
        <v>465</v>
      </c>
      <c r="D297" s="75">
        <v>596008829</v>
      </c>
      <c r="E297" s="76">
        <v>9198721709</v>
      </c>
      <c r="F297" s="42" t="s">
        <v>247</v>
      </c>
      <c r="G297" s="84">
        <v>36011</v>
      </c>
      <c r="H297" s="108" t="str">
        <f>CHOOSE(MONTH(G297),"January","February","March","April","May","June","July","August","September","October","November","December")</f>
        <v>August</v>
      </c>
      <c r="I297" s="54">
        <f ca="1">DATEDIF(G297,TODAY(),"Y")</f>
        <v>18</v>
      </c>
      <c r="J297" s="55"/>
      <c r="K297" s="56">
        <v>45050</v>
      </c>
      <c r="L297" s="57">
        <v>1</v>
      </c>
    </row>
    <row r="298" spans="1:12" ht="15" x14ac:dyDescent="0.25">
      <c r="A298" s="42" t="s">
        <v>825</v>
      </c>
      <c r="B298" s="49" t="s">
        <v>245</v>
      </c>
      <c r="C298" s="42" t="s">
        <v>465</v>
      </c>
      <c r="D298" s="75">
        <v>318068637</v>
      </c>
      <c r="E298" s="76">
        <v>9193709408</v>
      </c>
      <c r="F298" s="42" t="s">
        <v>247</v>
      </c>
      <c r="G298" s="84">
        <v>39538</v>
      </c>
      <c r="H298" s="108" t="str">
        <f>CHOOSE(MONTH(G298),"January","February","March","April","May","June","July","August","September","October","November","December")</f>
        <v>March</v>
      </c>
      <c r="I298" s="54">
        <f ca="1">DATEDIF(G298,TODAY(),"Y")</f>
        <v>8</v>
      </c>
      <c r="J298" s="55"/>
      <c r="K298" s="56">
        <v>62780</v>
      </c>
      <c r="L298" s="57">
        <v>4</v>
      </c>
    </row>
    <row r="299" spans="1:12" ht="15" x14ac:dyDescent="0.25">
      <c r="A299" s="42" t="s">
        <v>440</v>
      </c>
      <c r="B299" s="49" t="s">
        <v>271</v>
      </c>
      <c r="C299" s="42" t="s">
        <v>465</v>
      </c>
      <c r="D299" s="75">
        <v>213584397</v>
      </c>
      <c r="E299" s="76">
        <v>2524138160</v>
      </c>
      <c r="F299" s="42" t="s">
        <v>256</v>
      </c>
      <c r="G299" s="84">
        <v>37331</v>
      </c>
      <c r="H299" s="108" t="str">
        <f>CHOOSE(MONTH(G299),"January","February","March","April","May","June","July","August","September","October","November","December")</f>
        <v>March</v>
      </c>
      <c r="I299" s="54">
        <f ca="1">DATEDIF(G299,TODAY(),"Y")</f>
        <v>14</v>
      </c>
      <c r="J299" s="55" t="s">
        <v>283</v>
      </c>
      <c r="K299" s="56">
        <v>62750</v>
      </c>
      <c r="L299" s="57">
        <v>3</v>
      </c>
    </row>
    <row r="300" spans="1:12" ht="15" x14ac:dyDescent="0.25">
      <c r="A300" s="42" t="s">
        <v>792</v>
      </c>
      <c r="B300" s="49" t="s">
        <v>285</v>
      </c>
      <c r="C300" s="42" t="s">
        <v>465</v>
      </c>
      <c r="D300" s="75">
        <v>110547055</v>
      </c>
      <c r="E300" s="76">
        <v>2526966637</v>
      </c>
      <c r="F300" s="42" t="s">
        <v>261</v>
      </c>
      <c r="G300" s="84">
        <v>36360</v>
      </c>
      <c r="H300" s="108" t="str">
        <f>CHOOSE(MONTH(G300),"January","February","March","April","May","June","July","August","September","October","November","December")</f>
        <v>July</v>
      </c>
      <c r="I300" s="54">
        <f ca="1">DATEDIF(G300,TODAY(),"Y")</f>
        <v>17</v>
      </c>
      <c r="J300" s="55" t="s">
        <v>283</v>
      </c>
      <c r="K300" s="56">
        <v>11065</v>
      </c>
      <c r="L300" s="57">
        <v>1</v>
      </c>
    </row>
    <row r="301" spans="1:12" ht="15" x14ac:dyDescent="0.25">
      <c r="A301" s="42" t="s">
        <v>328</v>
      </c>
      <c r="B301" s="49" t="s">
        <v>285</v>
      </c>
      <c r="C301" s="42" t="s">
        <v>465</v>
      </c>
      <c r="D301" s="75">
        <v>948480407</v>
      </c>
      <c r="E301" s="76">
        <v>9191449596</v>
      </c>
      <c r="F301" s="42" t="s">
        <v>247</v>
      </c>
      <c r="G301" s="84">
        <v>37634</v>
      </c>
      <c r="H301" s="108" t="str">
        <f>CHOOSE(MONTH(G301),"January","February","March","April","May","June","July","August","September","October","November","December")</f>
        <v>January</v>
      </c>
      <c r="I301" s="54">
        <f ca="1">DATEDIF(G301,TODAY(),"Y")</f>
        <v>13</v>
      </c>
      <c r="J301" s="55"/>
      <c r="K301" s="56">
        <v>61370</v>
      </c>
      <c r="L301" s="57">
        <v>3</v>
      </c>
    </row>
    <row r="302" spans="1:12" ht="15" x14ac:dyDescent="0.25">
      <c r="A302" s="42" t="s">
        <v>492</v>
      </c>
      <c r="B302" s="49" t="s">
        <v>271</v>
      </c>
      <c r="C302" s="42" t="s">
        <v>465</v>
      </c>
      <c r="D302" s="75">
        <v>931105030</v>
      </c>
      <c r="E302" s="76">
        <v>9191397811</v>
      </c>
      <c r="F302" s="42" t="s">
        <v>256</v>
      </c>
      <c r="G302" s="84">
        <v>36273</v>
      </c>
      <c r="H302" s="108" t="str">
        <f>CHOOSE(MONTH(G302),"January","February","March","April","May","June","July","August","September","October","November","December")</f>
        <v>April</v>
      </c>
      <c r="I302" s="54">
        <f ca="1">DATEDIF(G302,TODAY(),"Y")</f>
        <v>17</v>
      </c>
      <c r="J302" s="55" t="s">
        <v>283</v>
      </c>
      <c r="K302" s="56">
        <v>61330</v>
      </c>
      <c r="L302" s="57">
        <v>4</v>
      </c>
    </row>
    <row r="303" spans="1:12" ht="15" x14ac:dyDescent="0.25">
      <c r="A303" s="42" t="s">
        <v>294</v>
      </c>
      <c r="B303" s="49" t="s">
        <v>245</v>
      </c>
      <c r="C303" s="42" t="s">
        <v>465</v>
      </c>
      <c r="D303" s="75">
        <v>684054281</v>
      </c>
      <c r="E303" s="76">
        <v>2522888726</v>
      </c>
      <c r="F303" s="42" t="s">
        <v>256</v>
      </c>
      <c r="G303" s="84">
        <v>38146</v>
      </c>
      <c r="H303" s="108" t="str">
        <f>CHOOSE(MONTH(G303),"January","February","March","April","May","June","July","August","September","October","November","December")</f>
        <v>June</v>
      </c>
      <c r="I303" s="54">
        <f ca="1">DATEDIF(G303,TODAY(),"Y")</f>
        <v>12</v>
      </c>
      <c r="J303" s="55" t="s">
        <v>257</v>
      </c>
      <c r="K303" s="56">
        <v>47340</v>
      </c>
      <c r="L303" s="57">
        <v>2</v>
      </c>
    </row>
    <row r="304" spans="1:12" ht="15" x14ac:dyDescent="0.25">
      <c r="A304" s="42" t="s">
        <v>515</v>
      </c>
      <c r="B304" s="49" t="s">
        <v>251</v>
      </c>
      <c r="C304" s="42" t="s">
        <v>465</v>
      </c>
      <c r="D304" s="75">
        <v>696435191</v>
      </c>
      <c r="E304" s="76">
        <v>2527710498</v>
      </c>
      <c r="F304" s="42" t="s">
        <v>256</v>
      </c>
      <c r="G304" s="84">
        <v>35591</v>
      </c>
      <c r="H304" s="108" t="str">
        <f>CHOOSE(MONTH(G304),"January","February","March","April","May","June","July","August","September","October","November","December")</f>
        <v>June</v>
      </c>
      <c r="I304" s="54">
        <f ca="1">DATEDIF(G304,TODAY(),"Y")</f>
        <v>19</v>
      </c>
      <c r="J304" s="55" t="s">
        <v>283</v>
      </c>
      <c r="K304" s="56">
        <v>61150</v>
      </c>
      <c r="L304" s="57">
        <v>2</v>
      </c>
    </row>
    <row r="305" spans="1:12" ht="15" x14ac:dyDescent="0.25">
      <c r="A305" s="42" t="s">
        <v>902</v>
      </c>
      <c r="B305" s="49" t="s">
        <v>285</v>
      </c>
      <c r="C305" s="42" t="s">
        <v>465</v>
      </c>
      <c r="D305" s="75">
        <v>249929042</v>
      </c>
      <c r="E305" s="76">
        <v>2525790872</v>
      </c>
      <c r="F305" s="42" t="s">
        <v>256</v>
      </c>
      <c r="G305" s="84">
        <v>38664</v>
      </c>
      <c r="H305" s="108" t="str">
        <f>CHOOSE(MONTH(G305),"January","February","March","April","May","June","July","August","September","October","November","December")</f>
        <v>November</v>
      </c>
      <c r="I305" s="54">
        <f ca="1">DATEDIF(G305,TODAY(),"Y")</f>
        <v>11</v>
      </c>
      <c r="J305" s="55" t="s">
        <v>257</v>
      </c>
      <c r="K305" s="56">
        <v>61060</v>
      </c>
      <c r="L305" s="57">
        <v>5</v>
      </c>
    </row>
    <row r="306" spans="1:12" ht="15" x14ac:dyDescent="0.25">
      <c r="A306" s="42" t="s">
        <v>775</v>
      </c>
      <c r="B306" s="49" t="s">
        <v>280</v>
      </c>
      <c r="C306" s="42" t="s">
        <v>465</v>
      </c>
      <c r="D306" s="75">
        <v>350104448</v>
      </c>
      <c r="E306" s="76">
        <v>9193883356</v>
      </c>
      <c r="F306" s="42" t="s">
        <v>256</v>
      </c>
      <c r="G306" s="84">
        <v>35529</v>
      </c>
      <c r="H306" s="108" t="str">
        <f>CHOOSE(MONTH(G306),"January","February","March","April","May","June","July","August","September","October","November","December")</f>
        <v>April</v>
      </c>
      <c r="I306" s="54">
        <f ca="1">DATEDIF(G306,TODAY(),"Y")</f>
        <v>19</v>
      </c>
      <c r="J306" s="55" t="s">
        <v>267</v>
      </c>
      <c r="K306" s="56">
        <v>44920</v>
      </c>
      <c r="L306" s="57">
        <v>1</v>
      </c>
    </row>
    <row r="307" spans="1:12" ht="15" x14ac:dyDescent="0.25">
      <c r="A307" s="42" t="s">
        <v>525</v>
      </c>
      <c r="B307" s="49" t="s">
        <v>280</v>
      </c>
      <c r="C307" s="42" t="s">
        <v>465</v>
      </c>
      <c r="D307" s="75">
        <v>466293520</v>
      </c>
      <c r="E307" s="76">
        <v>2524442142</v>
      </c>
      <c r="F307" s="42" t="s">
        <v>252</v>
      </c>
      <c r="G307" s="84">
        <v>33751</v>
      </c>
      <c r="H307" s="108" t="str">
        <f>CHOOSE(MONTH(G307),"January","February","March","April","May","June","July","August","September","October","November","December")</f>
        <v>May</v>
      </c>
      <c r="I307" s="54">
        <f ca="1">DATEDIF(G307,TODAY(),"Y")</f>
        <v>24</v>
      </c>
      <c r="J307" s="55"/>
      <c r="K307" s="56">
        <v>22344</v>
      </c>
      <c r="L307" s="57">
        <v>4</v>
      </c>
    </row>
    <row r="308" spans="1:12" ht="15" x14ac:dyDescent="0.25">
      <c r="A308" s="42" t="s">
        <v>588</v>
      </c>
      <c r="B308" s="49" t="s">
        <v>271</v>
      </c>
      <c r="C308" s="42" t="s">
        <v>465</v>
      </c>
      <c r="D308" s="75">
        <v>259573806</v>
      </c>
      <c r="E308" s="76">
        <v>9193302808</v>
      </c>
      <c r="F308" s="42" t="s">
        <v>256</v>
      </c>
      <c r="G308" s="84">
        <v>33648</v>
      </c>
      <c r="H308" s="108" t="str">
        <f>CHOOSE(MONTH(G308),"January","February","March","April","May","June","July","August","September","October","November","December")</f>
        <v>February</v>
      </c>
      <c r="I308" s="54">
        <f ca="1">DATEDIF(G308,TODAY(),"Y")</f>
        <v>24</v>
      </c>
      <c r="J308" s="55" t="s">
        <v>276</v>
      </c>
      <c r="K308" s="56">
        <v>60380</v>
      </c>
      <c r="L308" s="57">
        <v>4</v>
      </c>
    </row>
    <row r="309" spans="1:12" ht="15" x14ac:dyDescent="0.25">
      <c r="A309" s="42" t="s">
        <v>710</v>
      </c>
      <c r="B309" s="49" t="s">
        <v>271</v>
      </c>
      <c r="C309" s="42" t="s">
        <v>465</v>
      </c>
      <c r="D309" s="75">
        <v>853268713</v>
      </c>
      <c r="E309" s="76">
        <v>9192712826</v>
      </c>
      <c r="F309" s="42" t="s">
        <v>256</v>
      </c>
      <c r="G309" s="84">
        <v>35589</v>
      </c>
      <c r="H309" s="108" t="str">
        <f>CHOOSE(MONTH(G309),"January","February","March","April","May","June","July","August","September","October","November","December")</f>
        <v>June</v>
      </c>
      <c r="I309" s="54">
        <f ca="1">DATEDIF(G309,TODAY(),"Y")</f>
        <v>19</v>
      </c>
      <c r="J309" s="55" t="s">
        <v>257</v>
      </c>
      <c r="K309" s="56">
        <v>60280</v>
      </c>
      <c r="L309" s="57">
        <v>1</v>
      </c>
    </row>
    <row r="310" spans="1:12" ht="15" x14ac:dyDescent="0.25">
      <c r="A310" s="42" t="s">
        <v>756</v>
      </c>
      <c r="B310" s="49" t="s">
        <v>271</v>
      </c>
      <c r="C310" s="42" t="s">
        <v>465</v>
      </c>
      <c r="D310" s="75">
        <v>676030562</v>
      </c>
      <c r="E310" s="76">
        <v>9198253211</v>
      </c>
      <c r="F310" s="42" t="s">
        <v>256</v>
      </c>
      <c r="G310" s="84">
        <v>35695</v>
      </c>
      <c r="H310" s="108" t="str">
        <f>CHOOSE(MONTH(G310),"January","February","March","April","May","June","July","August","September","October","November","December")</f>
        <v>September</v>
      </c>
      <c r="I310" s="54">
        <f ca="1">DATEDIF(G310,TODAY(),"Y")</f>
        <v>19</v>
      </c>
      <c r="J310" s="55" t="s">
        <v>257</v>
      </c>
      <c r="K310" s="56">
        <v>60100</v>
      </c>
      <c r="L310" s="57">
        <v>1</v>
      </c>
    </row>
    <row r="311" spans="1:12" ht="15" x14ac:dyDescent="0.25">
      <c r="A311" s="42" t="s">
        <v>519</v>
      </c>
      <c r="B311" s="49" t="s">
        <v>271</v>
      </c>
      <c r="C311" s="42" t="s">
        <v>465</v>
      </c>
      <c r="D311" s="75">
        <v>616417564</v>
      </c>
      <c r="E311" s="76">
        <v>9191806180</v>
      </c>
      <c r="F311" s="42" t="s">
        <v>247</v>
      </c>
      <c r="G311" s="84">
        <v>35451</v>
      </c>
      <c r="H311" s="108" t="str">
        <f>CHOOSE(MONTH(G311),"January","February","March","April","May","June","July","August","September","October","November","December")</f>
        <v>January</v>
      </c>
      <c r="I311" s="54">
        <f ca="1">DATEDIF(G311,TODAY(),"Y")</f>
        <v>19</v>
      </c>
      <c r="J311" s="55"/>
      <c r="K311" s="56">
        <v>42150</v>
      </c>
      <c r="L311" s="57">
        <v>5</v>
      </c>
    </row>
    <row r="312" spans="1:12" ht="15" x14ac:dyDescent="0.25">
      <c r="A312" s="42" t="s">
        <v>714</v>
      </c>
      <c r="B312" s="49" t="s">
        <v>266</v>
      </c>
      <c r="C312" s="42" t="s">
        <v>465</v>
      </c>
      <c r="D312" s="75">
        <v>596641549</v>
      </c>
      <c r="E312" s="76">
        <v>9196194175</v>
      </c>
      <c r="F312" s="42" t="s">
        <v>247</v>
      </c>
      <c r="G312" s="84">
        <v>36350</v>
      </c>
      <c r="H312" s="108" t="str">
        <f>CHOOSE(MONTH(G312),"January","February","March","April","May","June","July","August","September","October","November","December")</f>
        <v>July</v>
      </c>
      <c r="I312" s="54">
        <f ca="1">DATEDIF(G312,TODAY(),"Y")</f>
        <v>17</v>
      </c>
      <c r="J312" s="55"/>
      <c r="K312" s="56">
        <v>27380</v>
      </c>
      <c r="L312" s="57">
        <v>3</v>
      </c>
    </row>
    <row r="313" spans="1:12" ht="15" x14ac:dyDescent="0.25">
      <c r="A313" s="42" t="s">
        <v>809</v>
      </c>
      <c r="B313" s="49" t="s">
        <v>271</v>
      </c>
      <c r="C313" s="42" t="s">
        <v>465</v>
      </c>
      <c r="D313" s="75">
        <v>220781349</v>
      </c>
      <c r="E313" s="76">
        <v>2525185281</v>
      </c>
      <c r="F313" s="42" t="s">
        <v>247</v>
      </c>
      <c r="G313" s="84">
        <v>34149</v>
      </c>
      <c r="H313" s="108" t="str">
        <f>CHOOSE(MONTH(G313),"January","February","March","April","May","June","July","August","September","October","November","December")</f>
        <v>June</v>
      </c>
      <c r="I313" s="54">
        <f ca="1">DATEDIF(G313,TODAY(),"Y")</f>
        <v>23</v>
      </c>
      <c r="J313" s="55"/>
      <c r="K313" s="56">
        <v>45770</v>
      </c>
      <c r="L313" s="57">
        <v>5</v>
      </c>
    </row>
    <row r="314" spans="1:12" ht="15" x14ac:dyDescent="0.25">
      <c r="A314" s="42" t="s">
        <v>616</v>
      </c>
      <c r="B314" s="49" t="s">
        <v>245</v>
      </c>
      <c r="C314" s="42" t="s">
        <v>465</v>
      </c>
      <c r="D314" s="75">
        <v>436778229</v>
      </c>
      <c r="E314" s="76">
        <v>2525871924</v>
      </c>
      <c r="F314" s="42" t="s">
        <v>247</v>
      </c>
      <c r="G314" s="84">
        <v>39822</v>
      </c>
      <c r="H314" s="108" t="str">
        <f>CHOOSE(MONTH(G314),"January","February","March","April","May","June","July","August","September","October","November","December")</f>
        <v>January</v>
      </c>
      <c r="I314" s="54">
        <f ca="1">DATEDIF(G314,TODAY(),"Y")</f>
        <v>7</v>
      </c>
      <c r="J314" s="55"/>
      <c r="K314" s="56">
        <v>60040</v>
      </c>
      <c r="L314" s="57">
        <v>5</v>
      </c>
    </row>
    <row r="315" spans="1:12" ht="15" x14ac:dyDescent="0.25">
      <c r="A315" s="42" t="s">
        <v>341</v>
      </c>
      <c r="B315" s="49" t="s">
        <v>266</v>
      </c>
      <c r="C315" s="42" t="s">
        <v>465</v>
      </c>
      <c r="D315" s="75">
        <v>292993080</v>
      </c>
      <c r="E315" s="76">
        <v>2525085320</v>
      </c>
      <c r="F315" s="42" t="s">
        <v>256</v>
      </c>
      <c r="G315" s="84">
        <v>39455</v>
      </c>
      <c r="H315" s="108" t="str">
        <f>CHOOSE(MONTH(G315),"January","February","March","April","May","June","July","August","September","October","November","December")</f>
        <v>January</v>
      </c>
      <c r="I315" s="54">
        <f ca="1">DATEDIF(G315,TODAY(),"Y")</f>
        <v>8</v>
      </c>
      <c r="J315" s="55" t="s">
        <v>283</v>
      </c>
      <c r="K315" s="56">
        <v>59420</v>
      </c>
      <c r="L315" s="57">
        <v>4</v>
      </c>
    </row>
    <row r="316" spans="1:12" ht="15" x14ac:dyDescent="0.25">
      <c r="A316" s="42" t="s">
        <v>1548</v>
      </c>
      <c r="B316" s="49" t="s">
        <v>266</v>
      </c>
      <c r="C316" s="42" t="s">
        <v>465</v>
      </c>
      <c r="D316" s="75">
        <v>906321388</v>
      </c>
      <c r="E316" s="76">
        <v>2527919826</v>
      </c>
      <c r="F316" s="42" t="s">
        <v>247</v>
      </c>
      <c r="G316" s="84">
        <v>35360</v>
      </c>
      <c r="H316" s="108" t="str">
        <f>CHOOSE(MONTH(G316),"January","February","March","April","May","June","July","August","September","October","November","December")</f>
        <v>October</v>
      </c>
      <c r="I316" s="54">
        <f ca="1">DATEDIF(G316,TODAY(),"Y")</f>
        <v>20</v>
      </c>
      <c r="J316" s="55"/>
      <c r="K316" s="56">
        <v>28260</v>
      </c>
      <c r="L316" s="57">
        <v>5</v>
      </c>
    </row>
    <row r="317" spans="1:12" ht="15" x14ac:dyDescent="0.25">
      <c r="A317" s="42" t="s">
        <v>966</v>
      </c>
      <c r="B317" s="49" t="s">
        <v>280</v>
      </c>
      <c r="C317" s="42" t="s">
        <v>465</v>
      </c>
      <c r="D317" s="75">
        <v>725737456</v>
      </c>
      <c r="E317" s="76">
        <v>9191847141</v>
      </c>
      <c r="F317" s="42" t="s">
        <v>247</v>
      </c>
      <c r="G317" s="84">
        <v>38874</v>
      </c>
      <c r="H317" s="108" t="str">
        <f>CHOOSE(MONTH(G317),"January","February","March","April","May","June","July","August","September","October","November","December")</f>
        <v>June</v>
      </c>
      <c r="I317" s="54">
        <f ca="1">DATEDIF(G317,TODAY(),"Y")</f>
        <v>10</v>
      </c>
      <c r="J317" s="55"/>
      <c r="K317" s="56">
        <v>59330</v>
      </c>
      <c r="L317" s="57">
        <v>4</v>
      </c>
    </row>
    <row r="318" spans="1:12" ht="15" x14ac:dyDescent="0.25">
      <c r="A318" s="42" t="s">
        <v>527</v>
      </c>
      <c r="B318" s="49" t="s">
        <v>266</v>
      </c>
      <c r="C318" s="42" t="s">
        <v>465</v>
      </c>
      <c r="D318" s="75">
        <v>523758324</v>
      </c>
      <c r="E318" s="76">
        <v>9191308831</v>
      </c>
      <c r="F318" s="42" t="s">
        <v>256</v>
      </c>
      <c r="G318" s="84">
        <v>35361</v>
      </c>
      <c r="H318" s="108" t="str">
        <f>CHOOSE(MONTH(G318),"January","February","March","April","May","June","July","August","September","October","November","December")</f>
        <v>October</v>
      </c>
      <c r="I318" s="54">
        <f ca="1">DATEDIF(G318,TODAY(),"Y")</f>
        <v>20</v>
      </c>
      <c r="J318" s="55" t="s">
        <v>257</v>
      </c>
      <c r="K318" s="56">
        <v>59320</v>
      </c>
      <c r="L318" s="57">
        <v>4</v>
      </c>
    </row>
    <row r="319" spans="1:12" ht="15" x14ac:dyDescent="0.25">
      <c r="A319" s="42" t="s">
        <v>560</v>
      </c>
      <c r="B319" s="49" t="s">
        <v>280</v>
      </c>
      <c r="C319" s="42" t="s">
        <v>465</v>
      </c>
      <c r="D319" s="75">
        <v>487810878</v>
      </c>
      <c r="E319" s="76">
        <v>9194555389</v>
      </c>
      <c r="F319" s="42" t="s">
        <v>256</v>
      </c>
      <c r="G319" s="84">
        <v>34068</v>
      </c>
      <c r="H319" s="108" t="str">
        <f>CHOOSE(MONTH(G319),"January","February","March","April","May","June","July","August","September","October","November","December")</f>
        <v>April</v>
      </c>
      <c r="I319" s="54">
        <f ca="1">DATEDIF(G319,TODAY(),"Y")</f>
        <v>23</v>
      </c>
      <c r="J319" s="55" t="s">
        <v>283</v>
      </c>
      <c r="K319" s="56">
        <v>23330</v>
      </c>
      <c r="L319" s="57">
        <v>4</v>
      </c>
    </row>
    <row r="320" spans="1:12" ht="15" x14ac:dyDescent="0.25">
      <c r="A320" s="42" t="s">
        <v>979</v>
      </c>
      <c r="B320" s="49" t="s">
        <v>271</v>
      </c>
      <c r="C320" s="42" t="s">
        <v>465</v>
      </c>
      <c r="D320" s="75">
        <v>527185620</v>
      </c>
      <c r="E320" s="76">
        <v>2524627771</v>
      </c>
      <c r="F320" s="42" t="s">
        <v>256</v>
      </c>
      <c r="G320" s="84">
        <v>40270</v>
      </c>
      <c r="H320" s="108" t="str">
        <f>CHOOSE(MONTH(G320),"January","February","March","April","May","June","July","August","September","October","November","December")</f>
        <v>April</v>
      </c>
      <c r="I320" s="54">
        <f ca="1">DATEDIF(G320,TODAY(),"Y")</f>
        <v>6</v>
      </c>
      <c r="J320" s="55" t="s">
        <v>283</v>
      </c>
      <c r="K320" s="56">
        <v>35300</v>
      </c>
      <c r="L320" s="57">
        <v>5</v>
      </c>
    </row>
    <row r="321" spans="1:12" ht="15" x14ac:dyDescent="0.25">
      <c r="A321" s="42" t="s">
        <v>876</v>
      </c>
      <c r="B321" s="49" t="s">
        <v>251</v>
      </c>
      <c r="C321" s="42" t="s">
        <v>465</v>
      </c>
      <c r="D321" s="75">
        <v>944793994</v>
      </c>
      <c r="E321" s="76">
        <v>2525725646</v>
      </c>
      <c r="F321" s="42" t="s">
        <v>256</v>
      </c>
      <c r="G321" s="84">
        <v>34785</v>
      </c>
      <c r="H321" s="108" t="str">
        <f>CHOOSE(MONTH(G321),"January","February","March","April","May","June","July","August","September","October","November","December")</f>
        <v>March</v>
      </c>
      <c r="I321" s="54">
        <f ca="1">DATEDIF(G321,TODAY(),"Y")</f>
        <v>21</v>
      </c>
      <c r="J321" s="55" t="s">
        <v>257</v>
      </c>
      <c r="K321" s="56">
        <v>24300</v>
      </c>
      <c r="L321" s="57">
        <v>3</v>
      </c>
    </row>
    <row r="322" spans="1:12" ht="15" x14ac:dyDescent="0.25">
      <c r="A322" s="42" t="s">
        <v>574</v>
      </c>
      <c r="B322" s="49" t="s">
        <v>280</v>
      </c>
      <c r="C322" s="42" t="s">
        <v>465</v>
      </c>
      <c r="D322" s="75">
        <v>969216994</v>
      </c>
      <c r="E322" s="76">
        <v>2528973095</v>
      </c>
      <c r="F322" s="42" t="s">
        <v>247</v>
      </c>
      <c r="G322" s="84">
        <v>36283</v>
      </c>
      <c r="H322" s="108" t="str">
        <f>CHOOSE(MONTH(G322),"January","February","March","April","May","June","July","August","September","October","November","December")</f>
        <v>May</v>
      </c>
      <c r="I322" s="54">
        <f ca="1">DATEDIF(G322,TODAY(),"Y")</f>
        <v>17</v>
      </c>
      <c r="J322" s="55"/>
      <c r="K322" s="56">
        <v>25130</v>
      </c>
      <c r="L322" s="57">
        <v>5</v>
      </c>
    </row>
    <row r="323" spans="1:12" ht="15" x14ac:dyDescent="0.25">
      <c r="A323" s="42" t="s">
        <v>674</v>
      </c>
      <c r="B323" s="49" t="s">
        <v>280</v>
      </c>
      <c r="C323" s="42" t="s">
        <v>465</v>
      </c>
      <c r="D323" s="75">
        <v>312019803</v>
      </c>
      <c r="E323" s="76">
        <v>9197961953</v>
      </c>
      <c r="F323" s="42" t="s">
        <v>256</v>
      </c>
      <c r="G323" s="84">
        <v>37229</v>
      </c>
      <c r="H323" s="108" t="str">
        <f>CHOOSE(MONTH(G323),"January","February","March","April","May","June","July","August","September","October","November","December")</f>
        <v>December</v>
      </c>
      <c r="I323" s="54">
        <f ca="1">DATEDIF(G323,TODAY(),"Y")</f>
        <v>14</v>
      </c>
      <c r="J323" s="55" t="s">
        <v>283</v>
      </c>
      <c r="K323" s="56">
        <v>25310</v>
      </c>
      <c r="L323" s="57">
        <v>4</v>
      </c>
    </row>
    <row r="324" spans="1:12" ht="15" x14ac:dyDescent="0.25">
      <c r="A324" s="42" t="s">
        <v>799</v>
      </c>
      <c r="B324" s="49" t="s">
        <v>285</v>
      </c>
      <c r="C324" s="42" t="s">
        <v>465</v>
      </c>
      <c r="D324" s="75">
        <v>559376297</v>
      </c>
      <c r="E324" s="76">
        <v>9194888110</v>
      </c>
      <c r="F324" s="42" t="s">
        <v>256</v>
      </c>
      <c r="G324" s="84">
        <v>36431</v>
      </c>
      <c r="H324" s="108" t="str">
        <f>CHOOSE(MONTH(G324),"January","February","March","April","May","June","July","August","September","October","November","December")</f>
        <v>September</v>
      </c>
      <c r="I324" s="54">
        <f ca="1">DATEDIF(G324,TODAY(),"Y")</f>
        <v>17</v>
      </c>
      <c r="J324" s="55" t="s">
        <v>257</v>
      </c>
      <c r="K324" s="56">
        <v>35820</v>
      </c>
      <c r="L324" s="57">
        <v>2</v>
      </c>
    </row>
    <row r="325" spans="1:12" ht="15" x14ac:dyDescent="0.25">
      <c r="A325" s="42" t="s">
        <v>697</v>
      </c>
      <c r="B325" s="49" t="s">
        <v>245</v>
      </c>
      <c r="C325" s="42" t="s">
        <v>465</v>
      </c>
      <c r="D325" s="75">
        <v>467030396</v>
      </c>
      <c r="E325" s="76">
        <v>2526213620</v>
      </c>
      <c r="F325" s="42" t="s">
        <v>256</v>
      </c>
      <c r="G325" s="84">
        <v>33720</v>
      </c>
      <c r="H325" s="108" t="str">
        <f>CHOOSE(MONTH(G325),"January","February","March","April","May","June","July","August","September","October","November","December")</f>
        <v>April</v>
      </c>
      <c r="I325" s="54">
        <f ca="1">DATEDIF(G325,TODAY(),"Y")</f>
        <v>24</v>
      </c>
      <c r="J325" s="55" t="s">
        <v>283</v>
      </c>
      <c r="K325" s="56">
        <v>58910</v>
      </c>
      <c r="L325" s="57">
        <v>1</v>
      </c>
    </row>
    <row r="326" spans="1:12" ht="15" x14ac:dyDescent="0.25">
      <c r="A326" s="42" t="s">
        <v>731</v>
      </c>
      <c r="B326" s="49" t="s">
        <v>285</v>
      </c>
      <c r="C326" s="42" t="s">
        <v>465</v>
      </c>
      <c r="D326" s="75">
        <v>319449613</v>
      </c>
      <c r="E326" s="76">
        <v>2523454032</v>
      </c>
      <c r="F326" s="42" t="s">
        <v>256</v>
      </c>
      <c r="G326" s="84">
        <v>36332</v>
      </c>
      <c r="H326" s="108" t="str">
        <f>CHOOSE(MONTH(G326),"January","February","March","April","May","June","July","August","September","October","November","December")</f>
        <v>June</v>
      </c>
      <c r="I326" s="54">
        <f ca="1">DATEDIF(G326,TODAY(),"Y")</f>
        <v>17</v>
      </c>
      <c r="J326" s="55" t="s">
        <v>267</v>
      </c>
      <c r="K326" s="56">
        <v>37760</v>
      </c>
      <c r="L326" s="57">
        <v>2</v>
      </c>
    </row>
    <row r="327" spans="1:12" ht="15" x14ac:dyDescent="0.25">
      <c r="A327" s="42" t="s">
        <v>514</v>
      </c>
      <c r="B327" s="49" t="s">
        <v>280</v>
      </c>
      <c r="C327" s="42" t="s">
        <v>465</v>
      </c>
      <c r="D327" s="75">
        <v>826450563</v>
      </c>
      <c r="E327" s="76">
        <v>9196607355</v>
      </c>
      <c r="F327" s="42" t="s">
        <v>247</v>
      </c>
      <c r="G327" s="84">
        <v>36704</v>
      </c>
      <c r="H327" s="108" t="str">
        <f>CHOOSE(MONTH(G327),"January","February","March","April","May","June","July","August","September","October","November","December")</f>
        <v>June</v>
      </c>
      <c r="I327" s="54">
        <f ca="1">DATEDIF(G327,TODAY(),"Y")</f>
        <v>16</v>
      </c>
      <c r="J327" s="55"/>
      <c r="K327" s="56">
        <v>57760</v>
      </c>
      <c r="L327" s="57">
        <v>3</v>
      </c>
    </row>
    <row r="328" spans="1:12" ht="15" x14ac:dyDescent="0.25">
      <c r="A328" s="42" t="s">
        <v>482</v>
      </c>
      <c r="B328" s="49" t="s">
        <v>271</v>
      </c>
      <c r="C328" s="42" t="s">
        <v>465</v>
      </c>
      <c r="D328" s="75">
        <v>257249459</v>
      </c>
      <c r="E328" s="76">
        <v>9197775023</v>
      </c>
      <c r="F328" s="42" t="s">
        <v>247</v>
      </c>
      <c r="G328" s="84">
        <v>36637</v>
      </c>
      <c r="H328" s="108" t="str">
        <f>CHOOSE(MONTH(G328),"January","February","March","April","May","June","July","August","September","October","November","December")</f>
        <v>April</v>
      </c>
      <c r="I328" s="54">
        <f ca="1">DATEDIF(G328,TODAY(),"Y")</f>
        <v>16</v>
      </c>
      <c r="J328" s="55"/>
      <c r="K328" s="56">
        <v>57600</v>
      </c>
      <c r="L328" s="57">
        <v>3</v>
      </c>
    </row>
    <row r="329" spans="1:12" ht="15" x14ac:dyDescent="0.25">
      <c r="A329" s="42" t="s">
        <v>837</v>
      </c>
      <c r="B329" s="49" t="s">
        <v>285</v>
      </c>
      <c r="C329" s="42" t="s">
        <v>465</v>
      </c>
      <c r="D329" s="75">
        <v>399060898</v>
      </c>
      <c r="E329" s="76">
        <v>9195197037</v>
      </c>
      <c r="F329" s="42" t="s">
        <v>247</v>
      </c>
      <c r="G329" s="84">
        <v>38321</v>
      </c>
      <c r="H329" s="108" t="str">
        <f>CHOOSE(MONTH(G329),"January","February","March","April","May","June","July","August","September","October","November","December")</f>
        <v>November</v>
      </c>
      <c r="I329" s="54">
        <f ca="1">DATEDIF(G329,TODAY(),"Y")</f>
        <v>11</v>
      </c>
      <c r="J329" s="55"/>
      <c r="K329" s="56">
        <v>37980</v>
      </c>
      <c r="L329" s="57">
        <v>4</v>
      </c>
    </row>
    <row r="330" spans="1:12" ht="15" x14ac:dyDescent="0.25">
      <c r="A330" s="42" t="s">
        <v>553</v>
      </c>
      <c r="B330" s="49" t="s">
        <v>285</v>
      </c>
      <c r="C330" s="42" t="s">
        <v>465</v>
      </c>
      <c r="D330" s="75">
        <v>337370590</v>
      </c>
      <c r="E330" s="76">
        <v>9197046530</v>
      </c>
      <c r="F330" s="42" t="s">
        <v>247</v>
      </c>
      <c r="G330" s="84">
        <v>38044</v>
      </c>
      <c r="H330" s="108" t="str">
        <f>CHOOSE(MONTH(G330),"January","February","March","April","May","June","July","August","September","October","November","December")</f>
        <v>February</v>
      </c>
      <c r="I330" s="54">
        <f ca="1">DATEDIF(G330,TODAY(),"Y")</f>
        <v>12</v>
      </c>
      <c r="J330" s="55"/>
      <c r="K330" s="56">
        <v>57410</v>
      </c>
      <c r="L330" s="57">
        <v>2</v>
      </c>
    </row>
    <row r="331" spans="1:12" ht="15" x14ac:dyDescent="0.25">
      <c r="A331" s="42" t="s">
        <v>906</v>
      </c>
      <c r="B331" s="49" t="s">
        <v>271</v>
      </c>
      <c r="C331" s="42" t="s">
        <v>465</v>
      </c>
      <c r="D331" s="75">
        <v>843064707</v>
      </c>
      <c r="E331" s="76">
        <v>9192687844</v>
      </c>
      <c r="F331" s="42" t="s">
        <v>247</v>
      </c>
      <c r="G331" s="106">
        <v>40680</v>
      </c>
      <c r="H331" s="108" t="str">
        <f>CHOOSE(MONTH(G331),"January","February","March","April","May","June","July","August","September","October","November","December")</f>
        <v>May</v>
      </c>
      <c r="I331" s="54">
        <f ca="1">DATEDIF(G331,TODAY(),"Y")</f>
        <v>5</v>
      </c>
      <c r="J331" s="55"/>
      <c r="K331" s="56">
        <v>57110</v>
      </c>
      <c r="L331" s="57">
        <v>3</v>
      </c>
    </row>
    <row r="332" spans="1:12" ht="15" x14ac:dyDescent="0.25">
      <c r="A332" s="42" t="s">
        <v>635</v>
      </c>
      <c r="B332" s="49" t="s">
        <v>285</v>
      </c>
      <c r="C332" s="42" t="s">
        <v>465</v>
      </c>
      <c r="D332" s="75">
        <v>291715078</v>
      </c>
      <c r="E332" s="76">
        <v>9197662359</v>
      </c>
      <c r="F332" s="42" t="s">
        <v>256</v>
      </c>
      <c r="G332" s="84">
        <v>33613</v>
      </c>
      <c r="H332" s="108" t="str">
        <f>CHOOSE(MONTH(G332),"January","February","March","April","May","June","July","August","September","October","November","December")</f>
        <v>January</v>
      </c>
      <c r="I332" s="54">
        <f ca="1">DATEDIF(G332,TODAY(),"Y")</f>
        <v>24</v>
      </c>
      <c r="J332" s="55" t="s">
        <v>586</v>
      </c>
      <c r="K332" s="56">
        <v>56900</v>
      </c>
      <c r="L332" s="57">
        <v>5</v>
      </c>
    </row>
    <row r="333" spans="1:12" ht="15" x14ac:dyDescent="0.25">
      <c r="A333" s="42" t="s">
        <v>313</v>
      </c>
      <c r="B333" s="49" t="s">
        <v>251</v>
      </c>
      <c r="C333" s="42" t="s">
        <v>465</v>
      </c>
      <c r="D333" s="75">
        <v>783624212</v>
      </c>
      <c r="E333" s="76">
        <v>9193164024</v>
      </c>
      <c r="F333" s="42" t="s">
        <v>261</v>
      </c>
      <c r="G333" s="84">
        <v>34583</v>
      </c>
      <c r="H333" s="108" t="str">
        <f>CHOOSE(MONTH(G333),"January","February","March","April","May","June","July","August","September","October","November","December")</f>
        <v>September</v>
      </c>
      <c r="I333" s="54">
        <f ca="1">DATEDIF(G333,TODAY(),"Y")</f>
        <v>22</v>
      </c>
      <c r="J333" s="55" t="s">
        <v>262</v>
      </c>
      <c r="K333" s="56">
        <v>15260</v>
      </c>
      <c r="L333" s="57">
        <v>2</v>
      </c>
    </row>
    <row r="334" spans="1:12" ht="15" x14ac:dyDescent="0.25">
      <c r="A334" s="42" t="s">
        <v>760</v>
      </c>
      <c r="B334" s="49" t="s">
        <v>245</v>
      </c>
      <c r="C334" s="42" t="s">
        <v>465</v>
      </c>
      <c r="D334" s="75">
        <v>470935648</v>
      </c>
      <c r="E334" s="76">
        <v>9192053579</v>
      </c>
      <c r="F334" s="42" t="s">
        <v>247</v>
      </c>
      <c r="G334" s="84">
        <v>38537</v>
      </c>
      <c r="H334" s="108" t="str">
        <f>CHOOSE(MONTH(G334),"January","February","March","April","May","June","July","August","September","October","November","December")</f>
        <v>July</v>
      </c>
      <c r="I334" s="54">
        <f ca="1">DATEDIF(G334,TODAY(),"Y")</f>
        <v>11</v>
      </c>
      <c r="J334" s="55"/>
      <c r="K334" s="56">
        <v>39680</v>
      </c>
      <c r="L334" s="57">
        <v>1</v>
      </c>
    </row>
    <row r="335" spans="1:12" ht="15" x14ac:dyDescent="0.25">
      <c r="A335" s="42" t="s">
        <v>813</v>
      </c>
      <c r="B335" s="49" t="s">
        <v>266</v>
      </c>
      <c r="C335" s="42" t="s">
        <v>465</v>
      </c>
      <c r="D335" s="75">
        <v>135965371</v>
      </c>
      <c r="E335" s="76">
        <v>9195592950</v>
      </c>
      <c r="F335" s="42" t="s">
        <v>256</v>
      </c>
      <c r="G335" s="84">
        <v>37936</v>
      </c>
      <c r="H335" s="108" t="str">
        <f>CHOOSE(MONTH(G335),"January","February","March","April","May","June","July","August","September","October","November","December")</f>
        <v>November</v>
      </c>
      <c r="I335" s="54">
        <f ca="1">DATEDIF(G335,TODAY(),"Y")</f>
        <v>12</v>
      </c>
      <c r="J335" s="55" t="s">
        <v>283</v>
      </c>
      <c r="K335" s="56">
        <v>30920</v>
      </c>
      <c r="L335" s="57">
        <v>5</v>
      </c>
    </row>
    <row r="336" spans="1:12" ht="15" x14ac:dyDescent="0.25">
      <c r="A336" s="42" t="s">
        <v>286</v>
      </c>
      <c r="B336" s="49" t="s">
        <v>245</v>
      </c>
      <c r="C336" s="42" t="s">
        <v>465</v>
      </c>
      <c r="D336" s="75">
        <v>416394493</v>
      </c>
      <c r="E336" s="76">
        <v>2525228252</v>
      </c>
      <c r="F336" s="42" t="s">
        <v>256</v>
      </c>
      <c r="G336" s="84">
        <v>35938</v>
      </c>
      <c r="H336" s="108" t="str">
        <f>CHOOSE(MONTH(G336),"January","February","March","April","May","June","July","August","September","October","November","December")</f>
        <v>May</v>
      </c>
      <c r="I336" s="54">
        <f ca="1">DATEDIF(G336,TODAY(),"Y")</f>
        <v>18</v>
      </c>
      <c r="J336" s="55" t="s">
        <v>267</v>
      </c>
      <c r="K336" s="56">
        <v>55450</v>
      </c>
      <c r="L336" s="57">
        <v>5</v>
      </c>
    </row>
    <row r="337" spans="1:12" ht="15" x14ac:dyDescent="0.25">
      <c r="A337" s="42" t="s">
        <v>423</v>
      </c>
      <c r="B337" s="49" t="s">
        <v>245</v>
      </c>
      <c r="C337" s="42" t="s">
        <v>465</v>
      </c>
      <c r="D337" s="75">
        <v>313128501</v>
      </c>
      <c r="E337" s="76">
        <v>9193184277</v>
      </c>
      <c r="F337" s="42" t="s">
        <v>252</v>
      </c>
      <c r="G337" s="84">
        <v>35490</v>
      </c>
      <c r="H337" s="108" t="str">
        <f>CHOOSE(MONTH(G337),"January","February","March","April","May","June","July","August","September","October","November","December")</f>
        <v>March</v>
      </c>
      <c r="I337" s="54">
        <f ca="1">DATEDIF(G337,TODAY(),"Y")</f>
        <v>19</v>
      </c>
      <c r="J337" s="55"/>
      <c r="K337" s="56">
        <v>22472</v>
      </c>
      <c r="L337" s="57">
        <v>1</v>
      </c>
    </row>
    <row r="338" spans="1:12" ht="15" x14ac:dyDescent="0.25">
      <c r="A338" s="42" t="s">
        <v>460</v>
      </c>
      <c r="B338" s="49" t="s">
        <v>285</v>
      </c>
      <c r="C338" s="42" t="s">
        <v>465</v>
      </c>
      <c r="D338" s="75">
        <v>903618594</v>
      </c>
      <c r="E338" s="76">
        <v>9194733288</v>
      </c>
      <c r="F338" s="42" t="s">
        <v>256</v>
      </c>
      <c r="G338" s="84">
        <v>37866</v>
      </c>
      <c r="H338" s="108" t="str">
        <f>CHOOSE(MONTH(G338),"January","February","March","April","May","June","July","August","September","October","November","December")</f>
        <v>September</v>
      </c>
      <c r="I338" s="54">
        <f ca="1">DATEDIF(G338,TODAY(),"Y")</f>
        <v>13</v>
      </c>
      <c r="J338" s="55" t="s">
        <v>262</v>
      </c>
      <c r="K338" s="56">
        <v>54230</v>
      </c>
      <c r="L338" s="57">
        <v>5</v>
      </c>
    </row>
    <row r="339" spans="1:12" ht="15" x14ac:dyDescent="0.25">
      <c r="A339" s="42" t="s">
        <v>911</v>
      </c>
      <c r="B339" s="49" t="s">
        <v>280</v>
      </c>
      <c r="C339" s="42" t="s">
        <v>465</v>
      </c>
      <c r="D339" s="75">
        <v>575270646</v>
      </c>
      <c r="E339" s="76">
        <v>9197819805</v>
      </c>
      <c r="F339" s="42" t="s">
        <v>256</v>
      </c>
      <c r="G339" s="84">
        <v>39348</v>
      </c>
      <c r="H339" s="108" t="str">
        <f>CHOOSE(MONTH(G339),"January","February","March","April","May","June","July","August","September","October","November","December")</f>
        <v>September</v>
      </c>
      <c r="I339" s="54">
        <f ca="1">DATEDIF(G339,TODAY(),"Y")</f>
        <v>9</v>
      </c>
      <c r="J339" s="55" t="s">
        <v>257</v>
      </c>
      <c r="K339" s="56">
        <v>46220</v>
      </c>
      <c r="L339" s="57">
        <v>2</v>
      </c>
    </row>
    <row r="340" spans="1:12" ht="15" x14ac:dyDescent="0.25">
      <c r="A340" s="42" t="s">
        <v>481</v>
      </c>
      <c r="B340" s="49" t="s">
        <v>271</v>
      </c>
      <c r="C340" s="42" t="s">
        <v>465</v>
      </c>
      <c r="D340" s="75">
        <v>592631929</v>
      </c>
      <c r="E340" s="76">
        <v>2523922629</v>
      </c>
      <c r="F340" s="42" t="s">
        <v>247</v>
      </c>
      <c r="G340" s="84">
        <v>35349</v>
      </c>
      <c r="H340" s="108" t="str">
        <f>CHOOSE(MONTH(G340),"January","February","March","April","May","June","July","August","September","October","November","December")</f>
        <v>October</v>
      </c>
      <c r="I340" s="54">
        <f ca="1">DATEDIF(G340,TODAY(),"Y")</f>
        <v>20</v>
      </c>
      <c r="J340" s="55"/>
      <c r="K340" s="56">
        <v>52940</v>
      </c>
      <c r="L340" s="57">
        <v>4</v>
      </c>
    </row>
    <row r="341" spans="1:12" ht="15" x14ac:dyDescent="0.25">
      <c r="A341" s="42" t="s">
        <v>615</v>
      </c>
      <c r="B341" s="49" t="s">
        <v>271</v>
      </c>
      <c r="C341" s="42" t="s">
        <v>465</v>
      </c>
      <c r="D341" s="75">
        <v>806508287</v>
      </c>
      <c r="E341" s="76">
        <v>2528801464</v>
      </c>
      <c r="F341" s="42" t="s">
        <v>256</v>
      </c>
      <c r="G341" s="84">
        <v>33631</v>
      </c>
      <c r="H341" s="108" t="str">
        <f>CHOOSE(MONTH(G341),"January","February","March","April","May","June","July","August","September","October","November","December")</f>
        <v>January</v>
      </c>
      <c r="I341" s="54">
        <f ca="1">DATEDIF(G341,TODAY(),"Y")</f>
        <v>24</v>
      </c>
      <c r="J341" s="55" t="s">
        <v>257</v>
      </c>
      <c r="K341" s="56">
        <v>52940</v>
      </c>
      <c r="L341" s="57">
        <v>4</v>
      </c>
    </row>
    <row r="342" spans="1:12" ht="15" x14ac:dyDescent="0.25">
      <c r="A342" s="42" t="s">
        <v>722</v>
      </c>
      <c r="B342" s="49" t="s">
        <v>251</v>
      </c>
      <c r="C342" s="42" t="s">
        <v>465</v>
      </c>
      <c r="D342" s="75">
        <v>100679868</v>
      </c>
      <c r="E342" s="76">
        <v>9198082183</v>
      </c>
      <c r="F342" s="42" t="s">
        <v>261</v>
      </c>
      <c r="G342" s="84">
        <v>35807</v>
      </c>
      <c r="H342" s="108" t="str">
        <f>CHOOSE(MONTH(G342),"January","February","March","April","May","June","July","August","September","October","November","December")</f>
        <v>January</v>
      </c>
      <c r="I342" s="54">
        <f ca="1">DATEDIF(G342,TODAY(),"Y")</f>
        <v>18</v>
      </c>
      <c r="J342" s="55" t="s">
        <v>257</v>
      </c>
      <c r="K342" s="56">
        <v>48835</v>
      </c>
      <c r="L342" s="57">
        <v>5</v>
      </c>
    </row>
    <row r="343" spans="1:12" ht="15" x14ac:dyDescent="0.25">
      <c r="A343" s="42" t="s">
        <v>680</v>
      </c>
      <c r="B343" s="49" t="s">
        <v>251</v>
      </c>
      <c r="C343" s="42" t="s">
        <v>465</v>
      </c>
      <c r="D343" s="75">
        <v>311883362</v>
      </c>
      <c r="E343" s="76">
        <v>2526505454</v>
      </c>
      <c r="F343" s="42" t="s">
        <v>247</v>
      </c>
      <c r="G343" s="84">
        <v>37326</v>
      </c>
      <c r="H343" s="108" t="str">
        <f>CHOOSE(MONTH(G343),"January","February","March","April","May","June","July","August","September","October","November","December")</f>
        <v>March</v>
      </c>
      <c r="I343" s="54">
        <f ca="1">DATEDIF(G343,TODAY(),"Y")</f>
        <v>14</v>
      </c>
      <c r="J343" s="55"/>
      <c r="K343" s="56">
        <v>52770</v>
      </c>
      <c r="L343" s="57">
        <v>2</v>
      </c>
    </row>
    <row r="344" spans="1:12" ht="15" x14ac:dyDescent="0.25">
      <c r="A344" s="42" t="s">
        <v>593</v>
      </c>
      <c r="B344" s="49" t="s">
        <v>271</v>
      </c>
      <c r="C344" s="42" t="s">
        <v>465</v>
      </c>
      <c r="D344" s="75">
        <v>569701716</v>
      </c>
      <c r="E344" s="76">
        <v>2527461285</v>
      </c>
      <c r="F344" s="42" t="s">
        <v>261</v>
      </c>
      <c r="G344" s="84">
        <v>36177</v>
      </c>
      <c r="H344" s="108" t="str">
        <f>CHOOSE(MONTH(G344),"January","February","March","April","May","June","July","August","September","October","November","December")</f>
        <v>January</v>
      </c>
      <c r="I344" s="54">
        <f ca="1">DATEDIF(G344,TODAY(),"Y")</f>
        <v>17</v>
      </c>
      <c r="J344" s="55" t="s">
        <v>267</v>
      </c>
      <c r="K344" s="56">
        <v>21670</v>
      </c>
      <c r="L344" s="57">
        <v>2</v>
      </c>
    </row>
    <row r="345" spans="1:12" ht="15" x14ac:dyDescent="0.25">
      <c r="A345" s="42" t="s">
        <v>1013</v>
      </c>
      <c r="B345" s="49" t="s">
        <v>271</v>
      </c>
      <c r="C345" s="42" t="s">
        <v>465</v>
      </c>
      <c r="D345" s="75">
        <v>665773893</v>
      </c>
      <c r="E345" s="76">
        <v>9198857217</v>
      </c>
      <c r="F345" s="42" t="s">
        <v>252</v>
      </c>
      <c r="G345" s="84">
        <v>40574</v>
      </c>
      <c r="H345" s="108" t="str">
        <f>CHOOSE(MONTH(G345),"January","February","March","April","May","June","July","August","September","October","November","December")</f>
        <v>January</v>
      </c>
      <c r="I345" s="54">
        <f ca="1">DATEDIF(G345,TODAY(),"Y")</f>
        <v>5</v>
      </c>
      <c r="J345" s="55"/>
      <c r="K345" s="56">
        <v>28424</v>
      </c>
      <c r="L345" s="57">
        <v>4</v>
      </c>
    </row>
    <row r="346" spans="1:12" ht="15" x14ac:dyDescent="0.25">
      <c r="A346" s="42"/>
      <c r="B346" s="49"/>
      <c r="C346" s="114"/>
      <c r="D346" s="75"/>
      <c r="E346" s="76"/>
      <c r="F346" s="42"/>
      <c r="G346" s="84"/>
      <c r="H346" s="108"/>
      <c r="I346" s="54"/>
      <c r="J346" s="55"/>
      <c r="K346" s="56"/>
      <c r="L346" s="57"/>
    </row>
    <row r="347" spans="1:12" ht="15" x14ac:dyDescent="0.25">
      <c r="A347" s="42" t="s">
        <v>889</v>
      </c>
      <c r="B347" s="49" t="s">
        <v>245</v>
      </c>
      <c r="C347" s="42" t="s">
        <v>618</v>
      </c>
      <c r="D347" s="75">
        <v>292006053</v>
      </c>
      <c r="E347" s="76">
        <v>9197045091</v>
      </c>
      <c r="F347" s="42" t="s">
        <v>247</v>
      </c>
      <c r="G347" s="84">
        <v>36765</v>
      </c>
      <c r="H347" s="108" t="str">
        <f>CHOOSE(MONTH(G347),"January","February","March","April","May","June","July","August","September","October","November","December")</f>
        <v>August</v>
      </c>
      <c r="I347" s="54">
        <f ca="1">DATEDIF(G347,TODAY(),"Y")</f>
        <v>16</v>
      </c>
      <c r="J347" s="55"/>
      <c r="K347" s="56">
        <v>74500</v>
      </c>
      <c r="L347" s="57">
        <v>4</v>
      </c>
    </row>
    <row r="348" spans="1:12" ht="15" x14ac:dyDescent="0.25">
      <c r="A348" s="42" t="s">
        <v>612</v>
      </c>
      <c r="B348" s="49" t="s">
        <v>245</v>
      </c>
      <c r="C348" s="42" t="s">
        <v>618</v>
      </c>
      <c r="D348" s="75">
        <v>620072502</v>
      </c>
      <c r="E348" s="76">
        <v>9191264013</v>
      </c>
      <c r="F348" s="42" t="s">
        <v>256</v>
      </c>
      <c r="G348" s="84">
        <v>39038</v>
      </c>
      <c r="H348" s="108" t="str">
        <f>CHOOSE(MONTH(G348),"January","February","March","April","May","June","July","August","September","October","November","December")</f>
        <v>November</v>
      </c>
      <c r="I348" s="54">
        <f ca="1">DATEDIF(G348,TODAY(),"Y")</f>
        <v>9</v>
      </c>
      <c r="J348" s="55" t="s">
        <v>276</v>
      </c>
      <c r="K348" s="56">
        <v>71400</v>
      </c>
      <c r="L348" s="57">
        <v>4</v>
      </c>
    </row>
    <row r="349" spans="1:12" ht="15" x14ac:dyDescent="0.25">
      <c r="A349" s="42" t="s">
        <v>530</v>
      </c>
      <c r="B349" s="49" t="s">
        <v>280</v>
      </c>
      <c r="C349" s="42" t="s">
        <v>618</v>
      </c>
      <c r="D349" s="75">
        <v>742946482</v>
      </c>
      <c r="E349" s="76">
        <v>9197077326</v>
      </c>
      <c r="F349" s="42" t="s">
        <v>256</v>
      </c>
      <c r="G349" s="84">
        <v>33832</v>
      </c>
      <c r="H349" s="108" t="str">
        <f>CHOOSE(MONTH(G349),"January","February","March","April","May","June","July","August","September","October","November","December")</f>
        <v>August</v>
      </c>
      <c r="I349" s="54">
        <f ca="1">DATEDIF(G349,TODAY(),"Y")</f>
        <v>24</v>
      </c>
      <c r="J349" s="55" t="s">
        <v>257</v>
      </c>
      <c r="K349" s="56">
        <v>39160</v>
      </c>
      <c r="L349" s="57">
        <v>3</v>
      </c>
    </row>
    <row r="350" spans="1:12" ht="15" x14ac:dyDescent="0.25">
      <c r="A350" s="42" t="s">
        <v>368</v>
      </c>
      <c r="B350" s="49" t="s">
        <v>266</v>
      </c>
      <c r="C350" s="42" t="s">
        <v>618</v>
      </c>
      <c r="D350" s="75">
        <v>380343690</v>
      </c>
      <c r="E350" s="76">
        <v>2523906310</v>
      </c>
      <c r="F350" s="42" t="s">
        <v>247</v>
      </c>
      <c r="G350" s="106">
        <v>40292</v>
      </c>
      <c r="H350" s="108" t="str">
        <f>CHOOSE(MONTH(G350),"January","February","March","April","May","June","July","August","September","October","November","December")</f>
        <v>April</v>
      </c>
      <c r="I350" s="54">
        <f ca="1">DATEDIF(G350,TODAY(),"Y")</f>
        <v>6</v>
      </c>
      <c r="J350" s="55"/>
      <c r="K350" s="56">
        <v>61890</v>
      </c>
      <c r="L350" s="57">
        <v>2</v>
      </c>
    </row>
    <row r="351" spans="1:12" ht="15" x14ac:dyDescent="0.25">
      <c r="A351" s="48" t="s">
        <v>281</v>
      </c>
      <c r="B351" s="49" t="s">
        <v>251</v>
      </c>
      <c r="C351" s="42" t="s">
        <v>618</v>
      </c>
      <c r="D351" s="75">
        <v>370608224</v>
      </c>
      <c r="E351" s="76">
        <v>2521535362</v>
      </c>
      <c r="F351" s="42" t="s">
        <v>256</v>
      </c>
      <c r="G351" s="84">
        <v>37407</v>
      </c>
      <c r="H351" s="108" t="str">
        <f>CHOOSE(MONTH(G351),"January","February","March","April","May","June","July","August","September","October","November","December")</f>
        <v>May</v>
      </c>
      <c r="I351" s="54">
        <f ca="1">DATEDIF(G351,TODAY(),"Y")</f>
        <v>14</v>
      </c>
      <c r="J351" s="55" t="s">
        <v>257</v>
      </c>
      <c r="K351" s="56">
        <v>59140</v>
      </c>
      <c r="L351" s="57">
        <v>5</v>
      </c>
    </row>
    <row r="352" spans="1:12" ht="15" x14ac:dyDescent="0.25">
      <c r="A352" s="42" t="s">
        <v>920</v>
      </c>
      <c r="B352" s="49" t="s">
        <v>285</v>
      </c>
      <c r="C352" s="42" t="s">
        <v>618</v>
      </c>
      <c r="D352" s="75">
        <v>214234804</v>
      </c>
      <c r="E352" s="76">
        <v>2528908079</v>
      </c>
      <c r="F352" s="42" t="s">
        <v>256</v>
      </c>
      <c r="G352" s="84">
        <v>37936</v>
      </c>
      <c r="H352" s="108" t="str">
        <f>CHOOSE(MONTH(G352),"January","February","March","April","May","June","July","August","September","October","November","December")</f>
        <v>November</v>
      </c>
      <c r="I352" s="54">
        <f ca="1">DATEDIF(G352,TODAY(),"Y")</f>
        <v>12</v>
      </c>
      <c r="J352" s="55" t="s">
        <v>283</v>
      </c>
      <c r="K352" s="56">
        <v>53870</v>
      </c>
      <c r="L352" s="57">
        <v>2</v>
      </c>
    </row>
    <row r="353" spans="1:12" ht="15" x14ac:dyDescent="0.25">
      <c r="A353" s="42" t="s">
        <v>505</v>
      </c>
      <c r="B353" s="49" t="s">
        <v>266</v>
      </c>
      <c r="C353" s="42" t="s">
        <v>618</v>
      </c>
      <c r="D353" s="75">
        <v>723930767</v>
      </c>
      <c r="E353" s="76">
        <v>9191375297</v>
      </c>
      <c r="F353" s="42" t="s">
        <v>256</v>
      </c>
      <c r="G353" s="106">
        <v>40313</v>
      </c>
      <c r="H353" s="108" t="str">
        <f>CHOOSE(MONTH(G353),"January","February","March","April","May","June","July","August","September","October","November","December")</f>
        <v>May</v>
      </c>
      <c r="I353" s="54">
        <f ca="1">DATEDIF(G353,TODAY(),"Y")</f>
        <v>6</v>
      </c>
      <c r="J353" s="55" t="s">
        <v>283</v>
      </c>
      <c r="K353" s="56">
        <v>27250</v>
      </c>
      <c r="L353" s="57">
        <v>5</v>
      </c>
    </row>
    <row r="354" spans="1:12" ht="15" x14ac:dyDescent="0.25">
      <c r="A354" s="42"/>
      <c r="B354" s="49"/>
      <c r="C354" s="114"/>
      <c r="D354" s="75"/>
      <c r="E354" s="76"/>
      <c r="F354" s="42"/>
      <c r="G354" s="106"/>
      <c r="H354" s="108"/>
      <c r="I354" s="54"/>
      <c r="J354" s="55"/>
      <c r="K354" s="56"/>
      <c r="L354" s="57"/>
    </row>
    <row r="355" spans="1:12" ht="15" x14ac:dyDescent="0.25">
      <c r="A355" s="42" t="s">
        <v>675</v>
      </c>
      <c r="B355" s="49" t="s">
        <v>245</v>
      </c>
      <c r="C355" s="42" t="s">
        <v>626</v>
      </c>
      <c r="D355" s="75">
        <v>662247915</v>
      </c>
      <c r="E355" s="76">
        <v>9194378387</v>
      </c>
      <c r="F355" s="42" t="s">
        <v>256</v>
      </c>
      <c r="G355" s="84">
        <v>36940</v>
      </c>
      <c r="H355" s="108" t="str">
        <f>CHOOSE(MONTH(G355),"January","February","March","April","May","June","July","August","September","October","November","December")</f>
        <v>February</v>
      </c>
      <c r="I355" s="54">
        <f ca="1">DATEDIF(G355,TODAY(),"Y")</f>
        <v>15</v>
      </c>
      <c r="J355" s="55" t="s">
        <v>257</v>
      </c>
      <c r="K355" s="56">
        <v>48990</v>
      </c>
      <c r="L355" s="57">
        <v>5</v>
      </c>
    </row>
    <row r="356" spans="1:12" ht="15" x14ac:dyDescent="0.25">
      <c r="A356" s="42" t="s">
        <v>761</v>
      </c>
      <c r="B356" s="49" t="s">
        <v>245</v>
      </c>
      <c r="C356" s="42" t="s">
        <v>626</v>
      </c>
      <c r="D356" s="75">
        <v>343897392</v>
      </c>
      <c r="E356" s="76">
        <v>2526674988</v>
      </c>
      <c r="F356" s="42" t="s">
        <v>256</v>
      </c>
      <c r="G356" s="84">
        <v>35254</v>
      </c>
      <c r="H356" s="108" t="str">
        <f>CHOOSE(MONTH(G356),"January","February","March","April","May","June","July","August","September","October","November","December")</f>
        <v>July</v>
      </c>
      <c r="I356" s="54">
        <f ca="1">DATEDIF(G356,TODAY(),"Y")</f>
        <v>20</v>
      </c>
      <c r="J356" s="55" t="s">
        <v>257</v>
      </c>
      <c r="K356" s="56">
        <v>48800</v>
      </c>
      <c r="L356" s="57">
        <v>4</v>
      </c>
    </row>
    <row r="357" spans="1:12" ht="15" x14ac:dyDescent="0.25">
      <c r="A357" s="42" t="s">
        <v>338</v>
      </c>
      <c r="B357" s="49" t="s">
        <v>285</v>
      </c>
      <c r="C357" s="42" t="s">
        <v>626</v>
      </c>
      <c r="D357" s="75">
        <v>751878224</v>
      </c>
      <c r="E357" s="76">
        <v>9194713628</v>
      </c>
      <c r="F357" s="42" t="s">
        <v>256</v>
      </c>
      <c r="G357" s="84">
        <v>33606</v>
      </c>
      <c r="H357" s="108" t="str">
        <f>CHOOSE(MONTH(G357),"January","February","March","April","May","June","July","August","September","October","November","December")</f>
        <v>January</v>
      </c>
      <c r="I357" s="54">
        <f ca="1">DATEDIF(G357,TODAY(),"Y")</f>
        <v>24</v>
      </c>
      <c r="J357" s="55" t="s">
        <v>262</v>
      </c>
      <c r="K357" s="56">
        <v>87120</v>
      </c>
      <c r="L357" s="57">
        <v>3</v>
      </c>
    </row>
    <row r="358" spans="1:12" ht="15" x14ac:dyDescent="0.25">
      <c r="A358" s="42" t="s">
        <v>466</v>
      </c>
      <c r="B358" s="49" t="s">
        <v>245</v>
      </c>
      <c r="C358" s="42" t="s">
        <v>626</v>
      </c>
      <c r="D358" s="75">
        <v>261920277</v>
      </c>
      <c r="E358" s="76">
        <v>2524272773</v>
      </c>
      <c r="F358" s="42" t="s">
        <v>256</v>
      </c>
      <c r="G358" s="84">
        <v>35856</v>
      </c>
      <c r="H358" s="108" t="str">
        <f>CHOOSE(MONTH(G358),"January","February","March","April","May","June","July","August","September","October","November","December")</f>
        <v>March</v>
      </c>
      <c r="I358" s="54">
        <f ca="1">DATEDIF(G358,TODAY(),"Y")</f>
        <v>18</v>
      </c>
      <c r="J358" s="55" t="s">
        <v>276</v>
      </c>
      <c r="K358" s="56">
        <v>86830</v>
      </c>
      <c r="L358" s="57">
        <v>3</v>
      </c>
    </row>
    <row r="359" spans="1:12" ht="15" x14ac:dyDescent="0.25">
      <c r="A359" s="42" t="s">
        <v>431</v>
      </c>
      <c r="B359" s="49" t="s">
        <v>285</v>
      </c>
      <c r="C359" s="42" t="s">
        <v>626</v>
      </c>
      <c r="D359" s="75">
        <v>443476169</v>
      </c>
      <c r="E359" s="76">
        <v>9195085809</v>
      </c>
      <c r="F359" s="42" t="s">
        <v>256</v>
      </c>
      <c r="G359" s="84">
        <v>34067</v>
      </c>
      <c r="H359" s="108" t="str">
        <f>CHOOSE(MONTH(G359),"January","February","March","April","May","June","July","August","September","October","November","December")</f>
        <v>April</v>
      </c>
      <c r="I359" s="54">
        <f ca="1">DATEDIF(G359,TODAY(),"Y")</f>
        <v>23</v>
      </c>
      <c r="J359" s="55" t="s">
        <v>267</v>
      </c>
      <c r="K359" s="56">
        <v>86540</v>
      </c>
      <c r="L359" s="57">
        <v>4</v>
      </c>
    </row>
    <row r="360" spans="1:12" ht="15" x14ac:dyDescent="0.25">
      <c r="A360" s="42" t="s">
        <v>987</v>
      </c>
      <c r="B360" s="49" t="s">
        <v>245</v>
      </c>
      <c r="C360" s="42" t="s">
        <v>626</v>
      </c>
      <c r="D360" s="75">
        <v>259330447</v>
      </c>
      <c r="E360" s="76">
        <v>9195252544</v>
      </c>
      <c r="F360" s="42" t="s">
        <v>247</v>
      </c>
      <c r="G360" s="84">
        <v>36192</v>
      </c>
      <c r="H360" s="108" t="str">
        <f>CHOOSE(MONTH(G360),"January","February","March","April","May","June","July","August","September","October","November","December")</f>
        <v>February</v>
      </c>
      <c r="I360" s="54">
        <f ca="1">DATEDIF(G360,TODAY(),"Y")</f>
        <v>17</v>
      </c>
      <c r="J360" s="55"/>
      <c r="K360" s="56">
        <v>47620</v>
      </c>
      <c r="L360" s="57">
        <v>5</v>
      </c>
    </row>
    <row r="361" spans="1:12" ht="15" x14ac:dyDescent="0.25">
      <c r="A361" s="42" t="s">
        <v>524</v>
      </c>
      <c r="B361" s="49" t="s">
        <v>271</v>
      </c>
      <c r="C361" s="42" t="s">
        <v>626</v>
      </c>
      <c r="D361" s="75">
        <v>597641409</v>
      </c>
      <c r="E361" s="76">
        <v>9196201509</v>
      </c>
      <c r="F361" s="42" t="s">
        <v>256</v>
      </c>
      <c r="G361" s="84">
        <v>35857</v>
      </c>
      <c r="H361" s="108" t="str">
        <f>CHOOSE(MONTH(G361),"January","February","March","April","May","June","July","August","September","October","November","December")</f>
        <v>March</v>
      </c>
      <c r="I361" s="54">
        <f ca="1">DATEDIF(G361,TODAY(),"Y")</f>
        <v>18</v>
      </c>
      <c r="J361" s="55" t="s">
        <v>283</v>
      </c>
      <c r="K361" s="56">
        <v>82110</v>
      </c>
      <c r="L361" s="57">
        <v>3</v>
      </c>
    </row>
    <row r="362" spans="1:12" ht="15" x14ac:dyDescent="0.25">
      <c r="A362" s="42" t="s">
        <v>347</v>
      </c>
      <c r="B362" s="49" t="s">
        <v>280</v>
      </c>
      <c r="C362" s="42" t="s">
        <v>626</v>
      </c>
      <c r="D362" s="75">
        <v>991764142</v>
      </c>
      <c r="E362" s="76">
        <v>9192490678</v>
      </c>
      <c r="F362" s="42" t="s">
        <v>247</v>
      </c>
      <c r="G362" s="84">
        <v>34947</v>
      </c>
      <c r="H362" s="108" t="str">
        <f>CHOOSE(MONTH(G362),"January","February","March","April","May","June","July","August","September","October","November","December")</f>
        <v>September</v>
      </c>
      <c r="I362" s="54">
        <f ca="1">DATEDIF(G362,TODAY(),"Y")</f>
        <v>21</v>
      </c>
      <c r="J362" s="55"/>
      <c r="K362" s="56">
        <v>81930</v>
      </c>
      <c r="L362" s="57">
        <v>5</v>
      </c>
    </row>
    <row r="363" spans="1:12" ht="15" x14ac:dyDescent="0.25">
      <c r="A363" s="42" t="s">
        <v>407</v>
      </c>
      <c r="B363" s="49" t="s">
        <v>285</v>
      </c>
      <c r="C363" s="42" t="s">
        <v>626</v>
      </c>
      <c r="D363" s="75">
        <v>983891302</v>
      </c>
      <c r="E363" s="76">
        <v>9191462245</v>
      </c>
      <c r="F363" s="42" t="s">
        <v>256</v>
      </c>
      <c r="G363" s="84">
        <v>35547</v>
      </c>
      <c r="H363" s="108" t="str">
        <f>CHOOSE(MONTH(G363),"January","February","March","April","May","June","July","August","September","October","November","December")</f>
        <v>April</v>
      </c>
      <c r="I363" s="54">
        <f ca="1">DATEDIF(G363,TODAY(),"Y")</f>
        <v>19</v>
      </c>
      <c r="J363" s="55" t="s">
        <v>257</v>
      </c>
      <c r="K363" s="56">
        <v>81640</v>
      </c>
      <c r="L363" s="57">
        <v>4</v>
      </c>
    </row>
    <row r="364" spans="1:12" ht="15" x14ac:dyDescent="0.25">
      <c r="A364" s="42" t="s">
        <v>383</v>
      </c>
      <c r="B364" s="49" t="s">
        <v>280</v>
      </c>
      <c r="C364" s="42" t="s">
        <v>626</v>
      </c>
      <c r="D364" s="75">
        <v>357081517</v>
      </c>
      <c r="E364" s="76">
        <v>2527660273</v>
      </c>
      <c r="F364" s="42" t="s">
        <v>261</v>
      </c>
      <c r="G364" s="84">
        <v>36371</v>
      </c>
      <c r="H364" s="108" t="str">
        <f>CHOOSE(MONTH(G364),"January","February","March","April","May","June","July","August","September","October","November","December")</f>
        <v>July</v>
      </c>
      <c r="I364" s="54">
        <f ca="1">DATEDIF(G364,TODAY(),"Y")</f>
        <v>17</v>
      </c>
      <c r="J364" s="55" t="s">
        <v>283</v>
      </c>
      <c r="K364" s="56">
        <v>26790</v>
      </c>
      <c r="L364" s="57">
        <v>2</v>
      </c>
    </row>
    <row r="365" spans="1:12" ht="15" x14ac:dyDescent="0.25">
      <c r="A365" s="42" t="s">
        <v>842</v>
      </c>
      <c r="B365" s="49" t="s">
        <v>285</v>
      </c>
      <c r="C365" s="42" t="s">
        <v>626</v>
      </c>
      <c r="D365" s="75">
        <v>567266382</v>
      </c>
      <c r="E365" s="76">
        <v>2521683770</v>
      </c>
      <c r="F365" s="42" t="s">
        <v>256</v>
      </c>
      <c r="G365" s="84">
        <v>36116</v>
      </c>
      <c r="H365" s="108" t="str">
        <f>CHOOSE(MONTH(G365),"January","February","March","April","May","June","July","August","September","October","November","December")</f>
        <v>November</v>
      </c>
      <c r="I365" s="54">
        <f ca="1">DATEDIF(G365,TODAY(),"Y")</f>
        <v>17</v>
      </c>
      <c r="J365" s="55" t="s">
        <v>276</v>
      </c>
      <c r="K365" s="56">
        <v>49770</v>
      </c>
      <c r="L365" s="57">
        <v>1</v>
      </c>
    </row>
    <row r="366" spans="1:12" ht="15" x14ac:dyDescent="0.25">
      <c r="A366" s="42" t="s">
        <v>903</v>
      </c>
      <c r="B366" s="49" t="s">
        <v>245</v>
      </c>
      <c r="C366" s="42" t="s">
        <v>626</v>
      </c>
      <c r="D366" s="75">
        <v>499124019</v>
      </c>
      <c r="E366" s="76">
        <v>9195978858</v>
      </c>
      <c r="F366" s="42" t="s">
        <v>261</v>
      </c>
      <c r="G366" s="84">
        <v>36121</v>
      </c>
      <c r="H366" s="108" t="str">
        <f>CHOOSE(MONTH(G366),"January","February","March","April","May","June","July","August","September","October","November","December")</f>
        <v>November</v>
      </c>
      <c r="I366" s="54">
        <f ca="1">DATEDIF(G366,TODAY(),"Y")</f>
        <v>17</v>
      </c>
      <c r="J366" s="55" t="s">
        <v>283</v>
      </c>
      <c r="K366" s="56">
        <v>28880</v>
      </c>
      <c r="L366" s="57">
        <v>3</v>
      </c>
    </row>
    <row r="367" spans="1:12" ht="15" x14ac:dyDescent="0.25">
      <c r="A367" s="42" t="s">
        <v>336</v>
      </c>
      <c r="B367" s="49" t="s">
        <v>271</v>
      </c>
      <c r="C367" s="42" t="s">
        <v>626</v>
      </c>
      <c r="D367" s="75">
        <v>393290045</v>
      </c>
      <c r="E367" s="76">
        <v>2525268508</v>
      </c>
      <c r="F367" s="42" t="s">
        <v>261</v>
      </c>
      <c r="G367" s="84">
        <v>37166</v>
      </c>
      <c r="H367" s="108" t="str">
        <f>CHOOSE(MONTH(G367),"January","February","March","April","May","June","July","August","September","October","November","December")</f>
        <v>October</v>
      </c>
      <c r="I367" s="54">
        <f ca="1">DATEDIF(G367,TODAY(),"Y")</f>
        <v>15</v>
      </c>
      <c r="J367" s="55" t="s">
        <v>262</v>
      </c>
      <c r="K367" s="56">
        <v>47295</v>
      </c>
      <c r="L367" s="57">
        <v>4</v>
      </c>
    </row>
    <row r="368" spans="1:12" ht="15" x14ac:dyDescent="0.25">
      <c r="A368" s="42" t="s">
        <v>327</v>
      </c>
      <c r="B368" s="49" t="s">
        <v>266</v>
      </c>
      <c r="C368" s="42" t="s">
        <v>626</v>
      </c>
      <c r="D368" s="75">
        <v>355985853</v>
      </c>
      <c r="E368" s="76">
        <v>2525478716</v>
      </c>
      <c r="F368" s="42" t="s">
        <v>256</v>
      </c>
      <c r="G368" s="84">
        <v>36297</v>
      </c>
      <c r="H368" s="108" t="str">
        <f>CHOOSE(MONTH(G368),"January","February","March","April","May","June","July","August","September","October","November","December")</f>
        <v>May</v>
      </c>
      <c r="I368" s="54">
        <f ca="1">DATEDIF(G368,TODAY(),"Y")</f>
        <v>17</v>
      </c>
      <c r="J368" s="55" t="s">
        <v>257</v>
      </c>
      <c r="K368" s="56">
        <v>46030</v>
      </c>
      <c r="L368" s="57">
        <v>2</v>
      </c>
    </row>
    <row r="369" spans="1:12" ht="15" x14ac:dyDescent="0.25">
      <c r="A369" s="42" t="s">
        <v>764</v>
      </c>
      <c r="B369" s="49" t="s">
        <v>266</v>
      </c>
      <c r="C369" s="42" t="s">
        <v>626</v>
      </c>
      <c r="D369" s="75">
        <v>466400098</v>
      </c>
      <c r="E369" s="76">
        <v>2524652136</v>
      </c>
      <c r="F369" s="42" t="s">
        <v>247</v>
      </c>
      <c r="G369" s="84">
        <v>34054</v>
      </c>
      <c r="H369" s="108" t="str">
        <f>CHOOSE(MONTH(G369),"January","February","March","April","May","June","July","August","September","October","November","December")</f>
        <v>March</v>
      </c>
      <c r="I369" s="54">
        <f ca="1">DATEDIF(G369,TODAY(),"Y")</f>
        <v>23</v>
      </c>
      <c r="J369" s="55"/>
      <c r="K369" s="56">
        <v>29000</v>
      </c>
      <c r="L369" s="57">
        <v>5</v>
      </c>
    </row>
    <row r="370" spans="1:12" ht="15" x14ac:dyDescent="0.25">
      <c r="A370" s="42" t="s">
        <v>470</v>
      </c>
      <c r="B370" s="49" t="s">
        <v>271</v>
      </c>
      <c r="C370" s="42" t="s">
        <v>626</v>
      </c>
      <c r="D370" s="75">
        <v>626767704</v>
      </c>
      <c r="E370" s="76">
        <v>2526971022</v>
      </c>
      <c r="F370" s="42" t="s">
        <v>247</v>
      </c>
      <c r="G370" s="84">
        <v>35776</v>
      </c>
      <c r="H370" s="108" t="str">
        <f>CHOOSE(MONTH(G370),"January","February","March","April","May","June","July","August","September","October","November","December")</f>
        <v>December</v>
      </c>
      <c r="I370" s="54">
        <f ca="1">DATEDIF(G370,TODAY(),"Y")</f>
        <v>18</v>
      </c>
      <c r="J370" s="55"/>
      <c r="K370" s="56">
        <v>77930</v>
      </c>
      <c r="L370" s="57">
        <v>5</v>
      </c>
    </row>
    <row r="371" spans="1:12" ht="15" x14ac:dyDescent="0.25">
      <c r="A371" s="42" t="s">
        <v>798</v>
      </c>
      <c r="B371" s="49" t="s">
        <v>271</v>
      </c>
      <c r="C371" s="42" t="s">
        <v>626</v>
      </c>
      <c r="D371" s="75">
        <v>999156829</v>
      </c>
      <c r="E371" s="76">
        <v>2521401774</v>
      </c>
      <c r="F371" s="42" t="s">
        <v>256</v>
      </c>
      <c r="G371" s="84">
        <v>40447</v>
      </c>
      <c r="H371" s="108" t="str">
        <f>CHOOSE(MONTH(G371),"January","February","March","April","May","June","July","August","September","October","November","December")</f>
        <v>September</v>
      </c>
      <c r="I371" s="54">
        <f ca="1">DATEDIF(G371,TODAY(),"Y")</f>
        <v>6</v>
      </c>
      <c r="J371" s="55" t="s">
        <v>257</v>
      </c>
      <c r="K371" s="56">
        <v>33970</v>
      </c>
      <c r="L371" s="57">
        <v>4</v>
      </c>
    </row>
    <row r="372" spans="1:12" ht="15" x14ac:dyDescent="0.25">
      <c r="A372" s="42" t="s">
        <v>333</v>
      </c>
      <c r="B372" s="49" t="s">
        <v>271</v>
      </c>
      <c r="C372" s="42" t="s">
        <v>626</v>
      </c>
      <c r="D372" s="75">
        <v>168791562</v>
      </c>
      <c r="E372" s="76">
        <v>9194161772</v>
      </c>
      <c r="F372" s="42" t="s">
        <v>256</v>
      </c>
      <c r="G372" s="84">
        <v>40361</v>
      </c>
      <c r="H372" s="108" t="str">
        <f>CHOOSE(MONTH(G372),"January","February","March","April","May","June","July","August","September","October","November","December")</f>
        <v>July</v>
      </c>
      <c r="I372" s="54">
        <f ca="1">DATEDIF(G372,TODAY(),"Y")</f>
        <v>6</v>
      </c>
      <c r="J372" s="55" t="s">
        <v>267</v>
      </c>
      <c r="K372" s="56">
        <v>75780</v>
      </c>
      <c r="L372" s="57">
        <v>2</v>
      </c>
    </row>
    <row r="373" spans="1:12" ht="15" x14ac:dyDescent="0.25">
      <c r="A373" s="42" t="s">
        <v>686</v>
      </c>
      <c r="B373" s="49" t="s">
        <v>285</v>
      </c>
      <c r="C373" s="42" t="s">
        <v>626</v>
      </c>
      <c r="D373" s="75">
        <v>254201611</v>
      </c>
      <c r="E373" s="76">
        <v>9197803578</v>
      </c>
      <c r="F373" s="42" t="s">
        <v>256</v>
      </c>
      <c r="G373" s="84">
        <v>34034</v>
      </c>
      <c r="H373" s="108" t="str">
        <f>CHOOSE(MONTH(G373),"January","February","March","April","May","June","July","August","September","October","November","December")</f>
        <v>March</v>
      </c>
      <c r="I373" s="54">
        <f ca="1">DATEDIF(G373,TODAY(),"Y")</f>
        <v>23</v>
      </c>
      <c r="J373" s="55" t="s">
        <v>267</v>
      </c>
      <c r="K373" s="56">
        <v>45180</v>
      </c>
      <c r="L373" s="57">
        <v>5</v>
      </c>
    </row>
    <row r="374" spans="1:12" ht="15" x14ac:dyDescent="0.25">
      <c r="A374" s="42" t="s">
        <v>494</v>
      </c>
      <c r="B374" s="49" t="s">
        <v>271</v>
      </c>
      <c r="C374" s="42" t="s">
        <v>626</v>
      </c>
      <c r="D374" s="75">
        <v>400260342</v>
      </c>
      <c r="E374" s="76">
        <v>9196798743</v>
      </c>
      <c r="F374" s="42" t="s">
        <v>247</v>
      </c>
      <c r="G374" s="84">
        <v>39283</v>
      </c>
      <c r="H374" s="108" t="str">
        <f>CHOOSE(MONTH(G374),"January","February","March","April","May","June","July","August","September","October","November","December")</f>
        <v>July</v>
      </c>
      <c r="I374" s="54">
        <f ca="1">DATEDIF(G374,TODAY(),"Y")</f>
        <v>9</v>
      </c>
      <c r="J374" s="55"/>
      <c r="K374" s="56">
        <v>74470</v>
      </c>
      <c r="L374" s="57">
        <v>3</v>
      </c>
    </row>
    <row r="375" spans="1:12" ht="15" x14ac:dyDescent="0.25">
      <c r="A375" s="42" t="s">
        <v>712</v>
      </c>
      <c r="B375" s="49" t="s">
        <v>251</v>
      </c>
      <c r="C375" s="42" t="s">
        <v>626</v>
      </c>
      <c r="D375" s="75">
        <v>159415552</v>
      </c>
      <c r="E375" s="76">
        <v>9194221208</v>
      </c>
      <c r="F375" s="42" t="s">
        <v>256</v>
      </c>
      <c r="G375" s="84">
        <v>33765</v>
      </c>
      <c r="H375" s="108" t="str">
        <f>CHOOSE(MONTH(G375),"January","February","March","April","May","June","July","August","September","October","November","December")</f>
        <v>June</v>
      </c>
      <c r="I375" s="54">
        <f ca="1">DATEDIF(G375,TODAY(),"Y")</f>
        <v>24</v>
      </c>
      <c r="J375" s="55" t="s">
        <v>262</v>
      </c>
      <c r="K375" s="56">
        <v>73930</v>
      </c>
      <c r="L375" s="57">
        <v>1</v>
      </c>
    </row>
    <row r="376" spans="1:12" ht="15" x14ac:dyDescent="0.25">
      <c r="A376" s="42" t="s">
        <v>345</v>
      </c>
      <c r="B376" s="49" t="s">
        <v>245</v>
      </c>
      <c r="C376" s="42" t="s">
        <v>626</v>
      </c>
      <c r="D376" s="75">
        <v>738946277</v>
      </c>
      <c r="E376" s="76">
        <v>9194331646</v>
      </c>
      <c r="F376" s="42" t="s">
        <v>256</v>
      </c>
      <c r="G376" s="84">
        <v>33223</v>
      </c>
      <c r="H376" s="108" t="str">
        <f>CHOOSE(MONTH(G376),"January","February","March","April","May","June","July","August","September","October","November","December")</f>
        <v>December</v>
      </c>
      <c r="I376" s="54">
        <f ca="1">DATEDIF(G376,TODAY(),"Y")</f>
        <v>25</v>
      </c>
      <c r="J376" s="55" t="s">
        <v>262</v>
      </c>
      <c r="K376" s="56">
        <v>31260</v>
      </c>
      <c r="L376" s="57">
        <v>5</v>
      </c>
    </row>
    <row r="377" spans="1:12" ht="15" x14ac:dyDescent="0.25">
      <c r="A377" s="42" t="s">
        <v>826</v>
      </c>
      <c r="B377" s="49" t="s">
        <v>285</v>
      </c>
      <c r="C377" s="42" t="s">
        <v>626</v>
      </c>
      <c r="D377" s="75">
        <v>364404060</v>
      </c>
      <c r="E377" s="76">
        <v>2527722509</v>
      </c>
      <c r="F377" s="42" t="s">
        <v>261</v>
      </c>
      <c r="G377" s="84">
        <v>38362</v>
      </c>
      <c r="H377" s="108" t="str">
        <f>CHOOSE(MONTH(G377),"January","February","March","April","May","June","July","August","September","October","November","December")</f>
        <v>January</v>
      </c>
      <c r="I377" s="54">
        <f ca="1">DATEDIF(G377,TODAY(),"Y")</f>
        <v>11</v>
      </c>
      <c r="J377" s="55" t="s">
        <v>257</v>
      </c>
      <c r="K377" s="56">
        <v>31255</v>
      </c>
      <c r="L377" s="57">
        <v>5</v>
      </c>
    </row>
    <row r="378" spans="1:12" ht="15" x14ac:dyDescent="0.25">
      <c r="A378" s="42" t="s">
        <v>934</v>
      </c>
      <c r="B378" s="49" t="s">
        <v>271</v>
      </c>
      <c r="C378" s="42" t="s">
        <v>626</v>
      </c>
      <c r="D378" s="75">
        <v>555025137</v>
      </c>
      <c r="E378" s="76">
        <v>2526565171</v>
      </c>
      <c r="F378" s="42" t="s">
        <v>261</v>
      </c>
      <c r="G378" s="84">
        <v>33319</v>
      </c>
      <c r="H378" s="108" t="str">
        <f>CHOOSE(MONTH(G378),"January","February","March","April","May","June","July","August","September","October","November","December")</f>
        <v>March</v>
      </c>
      <c r="I378" s="54">
        <f ca="1">DATEDIF(G378,TODAY(),"Y")</f>
        <v>25</v>
      </c>
      <c r="J378" s="55" t="s">
        <v>267</v>
      </c>
      <c r="K378" s="56">
        <v>13090</v>
      </c>
      <c r="L378" s="57">
        <v>4</v>
      </c>
    </row>
    <row r="379" spans="1:12" ht="15" x14ac:dyDescent="0.25">
      <c r="A379" s="42" t="s">
        <v>783</v>
      </c>
      <c r="B379" s="49" t="s">
        <v>245</v>
      </c>
      <c r="C379" s="42" t="s">
        <v>626</v>
      </c>
      <c r="D379" s="75">
        <v>948189231</v>
      </c>
      <c r="E379" s="76">
        <v>2527687161</v>
      </c>
      <c r="F379" s="42" t="s">
        <v>256</v>
      </c>
      <c r="G379" s="84">
        <v>33702</v>
      </c>
      <c r="H379" s="108" t="str">
        <f>CHOOSE(MONTH(G379),"January","February","March","April","May","June","July","August","September","October","November","December")</f>
        <v>April</v>
      </c>
      <c r="I379" s="54">
        <f ca="1">DATEDIF(G379,TODAY(),"Y")</f>
        <v>24</v>
      </c>
      <c r="J379" s="55" t="s">
        <v>257</v>
      </c>
      <c r="K379" s="56">
        <v>37020</v>
      </c>
      <c r="L379" s="57">
        <v>2</v>
      </c>
    </row>
    <row r="380" spans="1:12" ht="15" x14ac:dyDescent="0.25">
      <c r="A380" s="42" t="s">
        <v>891</v>
      </c>
      <c r="B380" s="49" t="s">
        <v>245</v>
      </c>
      <c r="C380" s="42" t="s">
        <v>626</v>
      </c>
      <c r="D380" s="75">
        <v>917714039</v>
      </c>
      <c r="E380" s="76">
        <v>9194402150</v>
      </c>
      <c r="F380" s="42" t="s">
        <v>256</v>
      </c>
      <c r="G380" s="84">
        <v>35220</v>
      </c>
      <c r="H380" s="108" t="str">
        <f>CHOOSE(MONTH(G380),"January","February","March","April","May","June","July","August","September","October","November","December")</f>
        <v>June</v>
      </c>
      <c r="I380" s="54">
        <f ca="1">DATEDIF(G380,TODAY(),"Y")</f>
        <v>20</v>
      </c>
      <c r="J380" s="55" t="s">
        <v>267</v>
      </c>
      <c r="K380" s="56">
        <v>70480</v>
      </c>
      <c r="L380" s="57">
        <v>4</v>
      </c>
    </row>
    <row r="381" spans="1:12" ht="15" x14ac:dyDescent="0.25">
      <c r="A381" s="42" t="s">
        <v>565</v>
      </c>
      <c r="B381" s="49" t="s">
        <v>285</v>
      </c>
      <c r="C381" s="42" t="s">
        <v>626</v>
      </c>
      <c r="D381" s="75">
        <v>643272576</v>
      </c>
      <c r="E381" s="76">
        <v>2522256131</v>
      </c>
      <c r="F381" s="42" t="s">
        <v>252</v>
      </c>
      <c r="G381" s="84">
        <v>33305</v>
      </c>
      <c r="H381" s="108" t="str">
        <f>CHOOSE(MONTH(G381),"January","February","March","April","May","June","July","August","September","October","November","December")</f>
        <v>March</v>
      </c>
      <c r="I381" s="54">
        <f ca="1">DATEDIF(G381,TODAY(),"Y")</f>
        <v>25</v>
      </c>
      <c r="J381" s="55"/>
      <c r="K381" s="56">
        <v>36844</v>
      </c>
      <c r="L381" s="57">
        <v>4</v>
      </c>
    </row>
    <row r="382" spans="1:12" ht="15" x14ac:dyDescent="0.25">
      <c r="A382" s="42" t="s">
        <v>794</v>
      </c>
      <c r="B382" s="49" t="s">
        <v>251</v>
      </c>
      <c r="C382" s="42" t="s">
        <v>626</v>
      </c>
      <c r="D382" s="75">
        <v>154984918</v>
      </c>
      <c r="E382" s="76">
        <v>2521575684</v>
      </c>
      <c r="F382" s="42" t="s">
        <v>256</v>
      </c>
      <c r="G382" s="84">
        <v>33407</v>
      </c>
      <c r="H382" s="108" t="str">
        <f>CHOOSE(MONTH(G382),"January","February","March","April","May","June","July","August","September","October","November","December")</f>
        <v>June</v>
      </c>
      <c r="I382" s="54">
        <f ca="1">DATEDIF(G382,TODAY(),"Y")</f>
        <v>25</v>
      </c>
      <c r="J382" s="55" t="s">
        <v>257</v>
      </c>
      <c r="K382" s="56">
        <v>22900</v>
      </c>
      <c r="L382" s="57">
        <v>1</v>
      </c>
    </row>
    <row r="383" spans="1:12" ht="15" x14ac:dyDescent="0.25">
      <c r="A383" s="42" t="s">
        <v>322</v>
      </c>
      <c r="B383" s="49" t="s">
        <v>266</v>
      </c>
      <c r="C383" s="42" t="s">
        <v>626</v>
      </c>
      <c r="D383" s="75">
        <v>506165137</v>
      </c>
      <c r="E383" s="76">
        <v>9193613417</v>
      </c>
      <c r="F383" s="42" t="s">
        <v>256</v>
      </c>
      <c r="G383" s="84">
        <v>40083</v>
      </c>
      <c r="H383" s="108" t="str">
        <f>CHOOSE(MONTH(G383),"January","February","March","April","May","June","July","August","September","October","November","December")</f>
        <v>September</v>
      </c>
      <c r="I383" s="54">
        <f ca="1">DATEDIF(G383,TODAY(),"Y")</f>
        <v>7</v>
      </c>
      <c r="J383" s="55" t="s">
        <v>283</v>
      </c>
      <c r="K383" s="56">
        <v>44150</v>
      </c>
      <c r="L383" s="57">
        <v>4</v>
      </c>
    </row>
    <row r="384" spans="1:12" ht="15" x14ac:dyDescent="0.25">
      <c r="A384" s="42" t="s">
        <v>658</v>
      </c>
      <c r="B384" s="49" t="s">
        <v>285</v>
      </c>
      <c r="C384" s="42" t="s">
        <v>626</v>
      </c>
      <c r="D384" s="75">
        <v>385074661</v>
      </c>
      <c r="E384" s="76">
        <v>2527451745</v>
      </c>
      <c r="F384" s="42" t="s">
        <v>256</v>
      </c>
      <c r="G384" s="84">
        <v>34875</v>
      </c>
      <c r="H384" s="108" t="str">
        <f>CHOOSE(MONTH(G384),"January","February","March","April","May","June","July","August","September","October","November","December")</f>
        <v>June</v>
      </c>
      <c r="I384" s="54">
        <f ca="1">DATEDIF(G384,TODAY(),"Y")</f>
        <v>21</v>
      </c>
      <c r="J384" s="55" t="s">
        <v>276</v>
      </c>
      <c r="K384" s="56">
        <v>66920</v>
      </c>
      <c r="L384" s="57">
        <v>2</v>
      </c>
    </row>
    <row r="385" spans="1:12" ht="15" x14ac:dyDescent="0.25">
      <c r="A385" s="42" t="s">
        <v>727</v>
      </c>
      <c r="B385" s="49" t="s">
        <v>271</v>
      </c>
      <c r="C385" s="42" t="s">
        <v>626</v>
      </c>
      <c r="D385" s="75">
        <v>649234799</v>
      </c>
      <c r="E385" s="76">
        <v>2521588597</v>
      </c>
      <c r="F385" s="42" t="s">
        <v>256</v>
      </c>
      <c r="G385" s="84">
        <v>40209</v>
      </c>
      <c r="H385" s="108" t="str">
        <f>CHOOSE(MONTH(G385),"January","February","March","April","May","June","July","August","September","October","November","December")</f>
        <v>January</v>
      </c>
      <c r="I385" s="54">
        <f ca="1">DATEDIF(G385,TODAY(),"Y")</f>
        <v>6</v>
      </c>
      <c r="J385" s="55" t="s">
        <v>283</v>
      </c>
      <c r="K385" s="56">
        <v>45260</v>
      </c>
      <c r="L385" s="57">
        <v>4</v>
      </c>
    </row>
    <row r="386" spans="1:12" ht="15" x14ac:dyDescent="0.25">
      <c r="A386" s="42" t="s">
        <v>1009</v>
      </c>
      <c r="B386" s="49" t="s">
        <v>285</v>
      </c>
      <c r="C386" s="42" t="s">
        <v>626</v>
      </c>
      <c r="D386" s="75">
        <v>422957475</v>
      </c>
      <c r="E386" s="76">
        <v>2524273090</v>
      </c>
      <c r="F386" s="42" t="s">
        <v>256</v>
      </c>
      <c r="G386" s="84">
        <v>34177</v>
      </c>
      <c r="H386" s="108" t="str">
        <f>CHOOSE(MONTH(G386),"January","February","March","April","May","June","July","August","September","October","November","December")</f>
        <v>July</v>
      </c>
      <c r="I386" s="54">
        <f ca="1">DATEDIF(G386,TODAY(),"Y")</f>
        <v>23</v>
      </c>
      <c r="J386" s="55" t="s">
        <v>283</v>
      </c>
      <c r="K386" s="56">
        <v>65250</v>
      </c>
      <c r="L386" s="57">
        <v>2</v>
      </c>
    </row>
    <row r="387" spans="1:12" ht="15" x14ac:dyDescent="0.25">
      <c r="A387" s="42" t="s">
        <v>807</v>
      </c>
      <c r="B387" s="49" t="s">
        <v>285</v>
      </c>
      <c r="C387" s="42" t="s">
        <v>626</v>
      </c>
      <c r="D387" s="75">
        <v>479081328</v>
      </c>
      <c r="E387" s="76">
        <v>2525368383</v>
      </c>
      <c r="F387" s="42" t="s">
        <v>247</v>
      </c>
      <c r="G387" s="84">
        <v>35682</v>
      </c>
      <c r="H387" s="108" t="str">
        <f>CHOOSE(MONTH(G387),"January","February","March","April","May","June","July","August","September","October","November","December")</f>
        <v>September</v>
      </c>
      <c r="I387" s="54">
        <f ca="1">DATEDIF(G387,TODAY(),"Y")</f>
        <v>19</v>
      </c>
      <c r="J387" s="55"/>
      <c r="K387" s="56">
        <v>63850</v>
      </c>
      <c r="L387" s="57">
        <v>2</v>
      </c>
    </row>
    <row r="388" spans="1:12" ht="15" x14ac:dyDescent="0.25">
      <c r="A388" s="42" t="s">
        <v>503</v>
      </c>
      <c r="B388" s="49" t="s">
        <v>245</v>
      </c>
      <c r="C388" s="42" t="s">
        <v>626</v>
      </c>
      <c r="D388" s="75">
        <v>980960186</v>
      </c>
      <c r="E388" s="76">
        <v>9191517218</v>
      </c>
      <c r="F388" s="42" t="s">
        <v>261</v>
      </c>
      <c r="G388" s="84">
        <v>39098</v>
      </c>
      <c r="H388" s="108" t="str">
        <f>CHOOSE(MONTH(G388),"January","February","March","April","May","June","July","August","September","October","November","December")</f>
        <v>January</v>
      </c>
      <c r="I388" s="54">
        <f ca="1">DATEDIF(G388,TODAY(),"Y")</f>
        <v>9</v>
      </c>
      <c r="J388" s="55" t="s">
        <v>283</v>
      </c>
      <c r="K388" s="56">
        <v>47705</v>
      </c>
      <c r="L388" s="57">
        <v>5</v>
      </c>
    </row>
    <row r="389" spans="1:12" ht="15" x14ac:dyDescent="0.25">
      <c r="A389" s="42" t="s">
        <v>518</v>
      </c>
      <c r="B389" s="49" t="s">
        <v>280</v>
      </c>
      <c r="C389" s="42" t="s">
        <v>626</v>
      </c>
      <c r="D389" s="75">
        <v>279097202</v>
      </c>
      <c r="E389" s="81">
        <v>9196844371</v>
      </c>
      <c r="F389" s="42" t="s">
        <v>256</v>
      </c>
      <c r="G389" s="84">
        <v>33247</v>
      </c>
      <c r="H389" s="108" t="str">
        <f>CHOOSE(MONTH(G389),"January","February","March","April","May","June","July","August","September","October","November","December")</f>
        <v>January</v>
      </c>
      <c r="I389" s="54">
        <f ca="1">DATEDIF(G389,TODAY(),"Y")</f>
        <v>25</v>
      </c>
      <c r="J389" s="55" t="s">
        <v>257</v>
      </c>
      <c r="K389" s="56">
        <v>62740</v>
      </c>
      <c r="L389" s="57">
        <v>4</v>
      </c>
    </row>
    <row r="390" spans="1:12" ht="15" x14ac:dyDescent="0.25">
      <c r="A390" s="42" t="s">
        <v>683</v>
      </c>
      <c r="B390" s="49" t="s">
        <v>285</v>
      </c>
      <c r="C390" s="42" t="s">
        <v>626</v>
      </c>
      <c r="D390" s="75">
        <v>294161481</v>
      </c>
      <c r="E390" s="76">
        <v>2521201242</v>
      </c>
      <c r="F390" s="42" t="s">
        <v>261</v>
      </c>
      <c r="G390" s="84">
        <v>36094</v>
      </c>
      <c r="H390" s="108" t="str">
        <f>CHOOSE(MONTH(G390),"January","February","March","April","May","June","July","August","September","October","November","December")</f>
        <v>October</v>
      </c>
      <c r="I390" s="54">
        <f ca="1">DATEDIF(G390,TODAY(),"Y")</f>
        <v>18</v>
      </c>
      <c r="J390" s="55" t="s">
        <v>257</v>
      </c>
      <c r="K390" s="56">
        <v>47885</v>
      </c>
      <c r="L390" s="57">
        <v>1</v>
      </c>
    </row>
    <row r="391" spans="1:12" ht="15" x14ac:dyDescent="0.25">
      <c r="A391" s="42" t="s">
        <v>915</v>
      </c>
      <c r="B391" s="49" t="s">
        <v>251</v>
      </c>
      <c r="C391" s="42" t="s">
        <v>626</v>
      </c>
      <c r="D391" s="75">
        <v>345817459</v>
      </c>
      <c r="E391" s="76">
        <v>9195594427</v>
      </c>
      <c r="F391" s="42" t="s">
        <v>247</v>
      </c>
      <c r="G391" s="84">
        <v>36199</v>
      </c>
      <c r="H391" s="108" t="str">
        <f>CHOOSE(MONTH(G391),"January","February","March","April","May","June","July","August","September","October","November","December")</f>
        <v>February</v>
      </c>
      <c r="I391" s="54">
        <f ca="1">DATEDIF(G391,TODAY(),"Y")</f>
        <v>17</v>
      </c>
      <c r="J391" s="55"/>
      <c r="K391" s="56">
        <v>31270</v>
      </c>
      <c r="L391" s="57">
        <v>5</v>
      </c>
    </row>
    <row r="392" spans="1:12" ht="15" x14ac:dyDescent="0.25">
      <c r="A392" s="42" t="s">
        <v>926</v>
      </c>
      <c r="B392" s="49" t="s">
        <v>285</v>
      </c>
      <c r="C392" s="42" t="s">
        <v>626</v>
      </c>
      <c r="D392" s="75">
        <v>275102740</v>
      </c>
      <c r="E392" s="76">
        <v>2521620909</v>
      </c>
      <c r="F392" s="42" t="s">
        <v>256</v>
      </c>
      <c r="G392" s="84">
        <v>33695</v>
      </c>
      <c r="H392" s="108" t="str">
        <f>CHOOSE(MONTH(G392),"January","February","March","April","May","June","July","August","September","October","November","December")</f>
        <v>April</v>
      </c>
      <c r="I392" s="54">
        <f ca="1">DATEDIF(G392,TODAY(),"Y")</f>
        <v>24</v>
      </c>
      <c r="J392" s="55" t="s">
        <v>262</v>
      </c>
      <c r="K392" s="56">
        <v>60560</v>
      </c>
      <c r="L392" s="57">
        <v>4</v>
      </c>
    </row>
    <row r="393" spans="1:12" ht="15" x14ac:dyDescent="0.25">
      <c r="A393" s="42" t="s">
        <v>392</v>
      </c>
      <c r="B393" s="49" t="s">
        <v>245</v>
      </c>
      <c r="C393" s="42" t="s">
        <v>626</v>
      </c>
      <c r="D393" s="75">
        <v>895408697</v>
      </c>
      <c r="E393" s="76">
        <v>2523383207</v>
      </c>
      <c r="F393" s="42" t="s">
        <v>256</v>
      </c>
      <c r="G393" s="84">
        <v>39157</v>
      </c>
      <c r="H393" s="108" t="str">
        <f>CHOOSE(MONTH(G393),"January","February","March","April","May","June","July","August","September","October","November","December")</f>
        <v>March</v>
      </c>
      <c r="I393" s="54">
        <f ca="1">DATEDIF(G393,TODAY(),"Y")</f>
        <v>9</v>
      </c>
      <c r="J393" s="55" t="s">
        <v>283</v>
      </c>
      <c r="K393" s="56">
        <v>47610</v>
      </c>
      <c r="L393" s="57">
        <v>4</v>
      </c>
    </row>
    <row r="394" spans="1:12" ht="15" x14ac:dyDescent="0.25">
      <c r="A394" s="42" t="s">
        <v>823</v>
      </c>
      <c r="B394" s="49" t="s">
        <v>251</v>
      </c>
      <c r="C394" s="42" t="s">
        <v>626</v>
      </c>
      <c r="D394" s="75">
        <v>634954970</v>
      </c>
      <c r="E394" s="76">
        <v>9194900864</v>
      </c>
      <c r="F394" s="42" t="s">
        <v>256</v>
      </c>
      <c r="G394" s="84">
        <v>35282</v>
      </c>
      <c r="H394" s="108" t="str">
        <f>CHOOSE(MONTH(G394),"January","February","March","April","May","June","July","August","September","October","November","December")</f>
        <v>August</v>
      </c>
      <c r="I394" s="54">
        <f ca="1">DATEDIF(G394,TODAY(),"Y")</f>
        <v>20</v>
      </c>
      <c r="J394" s="55" t="s">
        <v>257</v>
      </c>
      <c r="K394" s="56">
        <v>57560</v>
      </c>
      <c r="L394" s="57">
        <v>4</v>
      </c>
    </row>
    <row r="395" spans="1:12" ht="15" x14ac:dyDescent="0.25">
      <c r="A395" s="42" t="s">
        <v>468</v>
      </c>
      <c r="B395" s="49" t="s">
        <v>251</v>
      </c>
      <c r="C395" s="42" t="s">
        <v>626</v>
      </c>
      <c r="D395" s="75">
        <v>788451186</v>
      </c>
      <c r="E395" s="76">
        <v>9191682521</v>
      </c>
      <c r="F395" s="42" t="s">
        <v>247</v>
      </c>
      <c r="G395" s="84">
        <v>38496</v>
      </c>
      <c r="H395" s="108" t="str">
        <f>CHOOSE(MONTH(G395),"January","February","March","April","May","June","July","August","September","October","November","December")</f>
        <v>May</v>
      </c>
      <c r="I395" s="54">
        <f ca="1">DATEDIF(G395,TODAY(),"Y")</f>
        <v>11</v>
      </c>
      <c r="J395" s="55"/>
      <c r="K395" s="56">
        <v>57520</v>
      </c>
      <c r="L395" s="57">
        <v>3</v>
      </c>
    </row>
    <row r="396" spans="1:12" ht="15" x14ac:dyDescent="0.25">
      <c r="A396" s="42" t="s">
        <v>656</v>
      </c>
      <c r="B396" s="49" t="s">
        <v>285</v>
      </c>
      <c r="C396" s="42" t="s">
        <v>626</v>
      </c>
      <c r="D396" s="75">
        <v>157257652</v>
      </c>
      <c r="E396" s="76">
        <v>9193262077</v>
      </c>
      <c r="F396" s="42" t="s">
        <v>247</v>
      </c>
      <c r="G396" s="84">
        <v>36703</v>
      </c>
      <c r="H396" s="108" t="str">
        <f>CHOOSE(MONTH(G396),"January","February","March","April","May","June","July","August","September","October","November","December")</f>
        <v>June</v>
      </c>
      <c r="I396" s="54">
        <f ca="1">DATEDIF(G396,TODAY(),"Y")</f>
        <v>16</v>
      </c>
      <c r="J396" s="55"/>
      <c r="K396" s="56">
        <v>50200</v>
      </c>
      <c r="L396" s="57">
        <v>4</v>
      </c>
    </row>
    <row r="397" spans="1:12" ht="15" x14ac:dyDescent="0.25">
      <c r="A397" s="42" t="s">
        <v>594</v>
      </c>
      <c r="B397" s="49" t="s">
        <v>245</v>
      </c>
      <c r="C397" s="42" t="s">
        <v>626</v>
      </c>
      <c r="D397" s="75">
        <v>132016163</v>
      </c>
      <c r="E397" s="76">
        <v>2527726916</v>
      </c>
      <c r="F397" s="42" t="s">
        <v>261</v>
      </c>
      <c r="G397" s="84">
        <v>39871</v>
      </c>
      <c r="H397" s="108" t="str">
        <f>CHOOSE(MONTH(G397),"January","February","March","April","May","June","July","August","September","October","November","December")</f>
        <v>February</v>
      </c>
      <c r="I397" s="54">
        <f ca="1">DATEDIF(G397,TODAY(),"Y")</f>
        <v>7</v>
      </c>
      <c r="J397" s="55" t="s">
        <v>267</v>
      </c>
      <c r="K397" s="56">
        <v>38575</v>
      </c>
      <c r="L397" s="57">
        <v>2</v>
      </c>
    </row>
    <row r="398" spans="1:12" ht="15" x14ac:dyDescent="0.25">
      <c r="A398" s="42" t="s">
        <v>555</v>
      </c>
      <c r="B398" s="49" t="s">
        <v>280</v>
      </c>
      <c r="C398" s="42" t="s">
        <v>626</v>
      </c>
      <c r="D398" s="75">
        <v>168147877</v>
      </c>
      <c r="E398" s="76">
        <v>9196530760</v>
      </c>
      <c r="F398" s="42" t="s">
        <v>261</v>
      </c>
      <c r="G398" s="84">
        <v>37141</v>
      </c>
      <c r="H398" s="108" t="str">
        <f>CHOOSE(MONTH(G398),"January","February","March","April","May","June","July","August","September","October","November","December")</f>
        <v>September</v>
      </c>
      <c r="I398" s="54">
        <f ca="1">DATEDIF(G398,TODAY(),"Y")</f>
        <v>15</v>
      </c>
      <c r="J398" s="55" t="s">
        <v>276</v>
      </c>
      <c r="K398" s="56">
        <v>15910</v>
      </c>
      <c r="L398" s="57">
        <v>3</v>
      </c>
    </row>
    <row r="399" spans="1:12" ht="15" x14ac:dyDescent="0.25">
      <c r="A399" s="42" t="s">
        <v>485</v>
      </c>
      <c r="B399" s="49" t="s">
        <v>245</v>
      </c>
      <c r="C399" s="42" t="s">
        <v>626</v>
      </c>
      <c r="D399" s="75">
        <v>372693786</v>
      </c>
      <c r="E399" s="76">
        <v>9198211050</v>
      </c>
      <c r="F399" s="42" t="s">
        <v>261</v>
      </c>
      <c r="G399" s="84">
        <v>37138</v>
      </c>
      <c r="H399" s="108" t="str">
        <f>CHOOSE(MONTH(G399),"January","February","March","April","May","June","July","August","September","October","November","December")</f>
        <v>September</v>
      </c>
      <c r="I399" s="54">
        <f ca="1">DATEDIF(G399,TODAY(),"Y")</f>
        <v>15</v>
      </c>
      <c r="J399" s="55" t="s">
        <v>262</v>
      </c>
      <c r="K399" s="56">
        <v>31110</v>
      </c>
      <c r="L399" s="57">
        <v>1</v>
      </c>
    </row>
    <row r="400" spans="1:12" ht="15" x14ac:dyDescent="0.25">
      <c r="A400" s="42" t="s">
        <v>629</v>
      </c>
      <c r="B400" s="49" t="s">
        <v>285</v>
      </c>
      <c r="C400" s="42" t="s">
        <v>626</v>
      </c>
      <c r="D400" s="75">
        <v>424800509</v>
      </c>
      <c r="E400" s="76">
        <v>2523986051</v>
      </c>
      <c r="F400" s="42" t="s">
        <v>256</v>
      </c>
      <c r="G400" s="84">
        <v>36463</v>
      </c>
      <c r="H400" s="108" t="str">
        <f>CHOOSE(MONTH(G400),"January","February","March","April","May","June","July","August","September","October","November","December")</f>
        <v>October</v>
      </c>
      <c r="I400" s="54">
        <f ca="1">DATEDIF(G400,TODAY(),"Y")</f>
        <v>17</v>
      </c>
      <c r="J400" s="55" t="s">
        <v>257</v>
      </c>
      <c r="K400" s="56">
        <v>44220</v>
      </c>
      <c r="L400" s="57">
        <v>3</v>
      </c>
    </row>
    <row r="401" spans="1:12" ht="15" x14ac:dyDescent="0.25">
      <c r="A401" s="42" t="s">
        <v>672</v>
      </c>
      <c r="B401" s="49" t="s">
        <v>266</v>
      </c>
      <c r="C401" s="42" t="s">
        <v>626</v>
      </c>
      <c r="D401" s="75">
        <v>650784238</v>
      </c>
      <c r="E401" s="76">
        <v>9194679864</v>
      </c>
      <c r="F401" s="42" t="s">
        <v>247</v>
      </c>
      <c r="G401" s="84">
        <v>35518</v>
      </c>
      <c r="H401" s="108" t="str">
        <f>CHOOSE(MONTH(G401),"January","February","March","April","May","June","July","August","September","October","November","December")</f>
        <v>March</v>
      </c>
      <c r="I401" s="54">
        <f ca="1">DATEDIF(G401,TODAY(),"Y")</f>
        <v>19</v>
      </c>
      <c r="J401" s="55"/>
      <c r="K401" s="56">
        <v>53870</v>
      </c>
      <c r="L401" s="57">
        <v>2</v>
      </c>
    </row>
    <row r="402" spans="1:12" ht="15" x14ac:dyDescent="0.25">
      <c r="A402" s="42" t="s">
        <v>382</v>
      </c>
      <c r="B402" s="49" t="s">
        <v>271</v>
      </c>
      <c r="C402" s="42" t="s">
        <v>626</v>
      </c>
      <c r="D402" s="75">
        <v>247406371</v>
      </c>
      <c r="E402" s="76">
        <v>9195299873</v>
      </c>
      <c r="F402" s="42" t="s">
        <v>261</v>
      </c>
      <c r="G402" s="84">
        <v>40351</v>
      </c>
      <c r="H402" s="108" t="str">
        <f>CHOOSE(MONTH(G402),"January","February","March","April","May","June","July","August","September","October","November","December")</f>
        <v>June</v>
      </c>
      <c r="I402" s="54">
        <f ca="1">DATEDIF(G402,TODAY(),"Y")</f>
        <v>6</v>
      </c>
      <c r="J402" s="55" t="s">
        <v>283</v>
      </c>
      <c r="K402" s="56">
        <v>20040</v>
      </c>
      <c r="L402" s="57">
        <v>3</v>
      </c>
    </row>
    <row r="403" spans="1:12" ht="15" x14ac:dyDescent="0.25">
      <c r="A403" s="42" t="s">
        <v>723</v>
      </c>
      <c r="B403" s="49" t="s">
        <v>245</v>
      </c>
      <c r="C403" s="42" t="s">
        <v>626</v>
      </c>
      <c r="D403" s="75">
        <v>422929693</v>
      </c>
      <c r="E403" s="76">
        <v>9191487375</v>
      </c>
      <c r="F403" s="42" t="s">
        <v>256</v>
      </c>
      <c r="G403" s="84">
        <v>36662</v>
      </c>
      <c r="H403" s="108" t="str">
        <f>CHOOSE(MONTH(G403),"January","February","March","April","May","June","July","August","September","October","November","December")</f>
        <v>May</v>
      </c>
      <c r="I403" s="54">
        <f ca="1">DATEDIF(G403,TODAY(),"Y")</f>
        <v>16</v>
      </c>
      <c r="J403" s="55" t="s">
        <v>283</v>
      </c>
      <c r="K403" s="56">
        <v>52490</v>
      </c>
      <c r="L403" s="57">
        <v>4</v>
      </c>
    </row>
    <row r="404" spans="1:12" ht="15" x14ac:dyDescent="0.25">
      <c r="A404" s="42" t="s">
        <v>649</v>
      </c>
      <c r="B404" s="49" t="s">
        <v>271</v>
      </c>
      <c r="C404" s="42" t="s">
        <v>626</v>
      </c>
      <c r="D404" s="75">
        <v>796685092</v>
      </c>
      <c r="E404" s="76">
        <v>2527469217</v>
      </c>
      <c r="F404" s="42" t="s">
        <v>256</v>
      </c>
      <c r="G404" s="84">
        <v>36456</v>
      </c>
      <c r="H404" s="108" t="str">
        <f>CHOOSE(MONTH(G404),"January","February","March","April","May","June","July","August","September","October","November","December")</f>
        <v>October</v>
      </c>
      <c r="I404" s="54">
        <f ca="1">DATEDIF(G404,TODAY(),"Y")</f>
        <v>17</v>
      </c>
      <c r="J404" s="55" t="s">
        <v>283</v>
      </c>
      <c r="K404" s="56">
        <v>43460</v>
      </c>
      <c r="L404" s="57">
        <v>5</v>
      </c>
    </row>
    <row r="405" spans="1:12" ht="15" x14ac:dyDescent="0.25">
      <c r="A405" s="42" t="s">
        <v>801</v>
      </c>
      <c r="B405" s="49" t="s">
        <v>251</v>
      </c>
      <c r="C405" s="42" t="s">
        <v>626</v>
      </c>
      <c r="D405" s="75">
        <v>662974752</v>
      </c>
      <c r="E405" s="76">
        <v>2526040465</v>
      </c>
      <c r="F405" s="42" t="s">
        <v>256</v>
      </c>
      <c r="G405" s="84">
        <v>36392</v>
      </c>
      <c r="H405" s="108" t="str">
        <f>CHOOSE(MONTH(G405),"January","February","March","April","May","June","July","August","September","October","November","December")</f>
        <v>August</v>
      </c>
      <c r="I405" s="54">
        <f ca="1">DATEDIF(G405,TODAY(),"Y")</f>
        <v>17</v>
      </c>
      <c r="J405" s="55" t="s">
        <v>283</v>
      </c>
      <c r="K405" s="56">
        <v>51410</v>
      </c>
      <c r="L405" s="57">
        <v>4</v>
      </c>
    </row>
    <row r="406" spans="1:12" ht="15" x14ac:dyDescent="0.25">
      <c r="A406" s="42"/>
      <c r="B406" s="49"/>
      <c r="C406" s="114"/>
      <c r="D406" s="75"/>
      <c r="E406" s="76"/>
      <c r="F406" s="42"/>
      <c r="G406" s="84"/>
      <c r="H406" s="108"/>
      <c r="I406" s="54"/>
      <c r="J406" s="55"/>
      <c r="K406" s="56"/>
      <c r="L406" s="57"/>
    </row>
    <row r="407" spans="1:12" ht="15" x14ac:dyDescent="0.25">
      <c r="A407" s="42" t="s">
        <v>922</v>
      </c>
      <c r="B407" s="49" t="s">
        <v>285</v>
      </c>
      <c r="C407" s="42" t="s">
        <v>678</v>
      </c>
      <c r="D407" s="75">
        <v>802700229</v>
      </c>
      <c r="E407" s="76">
        <v>2524264889</v>
      </c>
      <c r="F407" s="42" t="s">
        <v>256</v>
      </c>
      <c r="G407" s="84">
        <v>33904</v>
      </c>
      <c r="H407" s="108" t="str">
        <f>CHOOSE(MONTH(G407),"January","February","March","April","May","June","July","August","September","October","November","December")</f>
        <v>October</v>
      </c>
      <c r="I407" s="54">
        <f ca="1">DATEDIF(G407,TODAY(),"Y")</f>
        <v>24</v>
      </c>
      <c r="J407" s="55" t="s">
        <v>262</v>
      </c>
      <c r="K407" s="56">
        <v>87980</v>
      </c>
      <c r="L407" s="57">
        <v>1</v>
      </c>
    </row>
    <row r="408" spans="1:12" ht="15" x14ac:dyDescent="0.25">
      <c r="A408" s="42" t="s">
        <v>644</v>
      </c>
      <c r="B408" s="49" t="s">
        <v>280</v>
      </c>
      <c r="C408" s="42" t="s">
        <v>678</v>
      </c>
      <c r="D408" s="75">
        <v>247555666</v>
      </c>
      <c r="E408" s="76">
        <v>2528183445</v>
      </c>
      <c r="F408" s="42" t="s">
        <v>256</v>
      </c>
      <c r="G408" s="84">
        <v>33617</v>
      </c>
      <c r="H408" s="108" t="str">
        <f>CHOOSE(MONTH(G408),"January","February","March","April","May","June","July","August","September","October","November","December")</f>
        <v>January</v>
      </c>
      <c r="I408" s="54">
        <f ca="1">DATEDIF(G408,TODAY(),"Y")</f>
        <v>24</v>
      </c>
      <c r="J408" s="55" t="s">
        <v>257</v>
      </c>
      <c r="K408" s="56">
        <v>39110</v>
      </c>
      <c r="L408" s="57">
        <v>5</v>
      </c>
    </row>
    <row r="409" spans="1:12" ht="15" x14ac:dyDescent="0.25">
      <c r="A409" s="42" t="s">
        <v>441</v>
      </c>
      <c r="B409" s="49" t="s">
        <v>251</v>
      </c>
      <c r="C409" s="42" t="s">
        <v>678</v>
      </c>
      <c r="D409" s="75">
        <v>859204644</v>
      </c>
      <c r="E409" s="76">
        <v>9191617913</v>
      </c>
      <c r="F409" s="42" t="s">
        <v>247</v>
      </c>
      <c r="G409" s="84">
        <v>35724</v>
      </c>
      <c r="H409" s="108" t="str">
        <f>CHOOSE(MONTH(G409),"January","February","March","April","May","June","July","August","September","October","November","December")</f>
        <v>October</v>
      </c>
      <c r="I409" s="54">
        <f ca="1">DATEDIF(G409,TODAY(),"Y")</f>
        <v>19</v>
      </c>
      <c r="J409" s="55"/>
      <c r="K409" s="56">
        <v>86470</v>
      </c>
      <c r="L409" s="57">
        <v>4</v>
      </c>
    </row>
    <row r="410" spans="1:12" ht="15" x14ac:dyDescent="0.25">
      <c r="A410" s="42" t="s">
        <v>542</v>
      </c>
      <c r="B410" s="49" t="s">
        <v>271</v>
      </c>
      <c r="C410" s="42" t="s">
        <v>678</v>
      </c>
      <c r="D410" s="75">
        <v>332302868</v>
      </c>
      <c r="E410" s="76">
        <v>9196109756</v>
      </c>
      <c r="F410" s="42" t="s">
        <v>256</v>
      </c>
      <c r="G410" s="84">
        <v>36175</v>
      </c>
      <c r="H410" s="108" t="str">
        <f>CHOOSE(MONTH(G410),"January","February","March","April","May","June","July","August","September","October","November","December")</f>
        <v>January</v>
      </c>
      <c r="I410" s="54">
        <f ca="1">DATEDIF(G410,TODAY(),"Y")</f>
        <v>17</v>
      </c>
      <c r="J410" s="55" t="s">
        <v>283</v>
      </c>
      <c r="K410" s="56">
        <v>23520</v>
      </c>
      <c r="L410" s="57">
        <v>2</v>
      </c>
    </row>
    <row r="411" spans="1:12" ht="15" x14ac:dyDescent="0.25">
      <c r="A411" s="42" t="s">
        <v>337</v>
      </c>
      <c r="B411" s="49" t="s">
        <v>280</v>
      </c>
      <c r="C411" s="42" t="s">
        <v>678</v>
      </c>
      <c r="D411" s="75">
        <v>303641529</v>
      </c>
      <c r="E411" s="76">
        <v>9196753698</v>
      </c>
      <c r="F411" s="42" t="s">
        <v>261</v>
      </c>
      <c r="G411" s="84">
        <v>35150</v>
      </c>
      <c r="H411" s="108" t="str">
        <f>CHOOSE(MONTH(G411),"January","February","March","April","May","June","July","August","September","October","November","December")</f>
        <v>March</v>
      </c>
      <c r="I411" s="54">
        <f ca="1">DATEDIF(G411,TODAY(),"Y")</f>
        <v>20</v>
      </c>
      <c r="J411" s="55" t="s">
        <v>257</v>
      </c>
      <c r="K411" s="56">
        <v>49405</v>
      </c>
      <c r="L411" s="57">
        <v>4</v>
      </c>
    </row>
    <row r="412" spans="1:12" ht="15" x14ac:dyDescent="0.25">
      <c r="A412" s="42" t="s">
        <v>720</v>
      </c>
      <c r="B412" s="49" t="s">
        <v>285</v>
      </c>
      <c r="C412" s="42" t="s">
        <v>678</v>
      </c>
      <c r="D412" s="75">
        <v>414905182</v>
      </c>
      <c r="E412" s="76">
        <v>9193820411</v>
      </c>
      <c r="F412" s="42" t="s">
        <v>256</v>
      </c>
      <c r="G412" s="84">
        <v>35121</v>
      </c>
      <c r="H412" s="108" t="str">
        <f>CHOOSE(MONTH(G412),"January","February","March","April","May","June","July","August","September","October","November","December")</f>
        <v>February</v>
      </c>
      <c r="I412" s="54">
        <f ca="1">DATEDIF(G412,TODAY(),"Y")</f>
        <v>20</v>
      </c>
      <c r="J412" s="55" t="s">
        <v>283</v>
      </c>
      <c r="K412" s="56">
        <v>22860</v>
      </c>
      <c r="L412" s="57">
        <v>5</v>
      </c>
    </row>
    <row r="413" spans="1:12" ht="15" x14ac:dyDescent="0.25">
      <c r="A413" s="42" t="s">
        <v>300</v>
      </c>
      <c r="B413" s="49" t="s">
        <v>285</v>
      </c>
      <c r="C413" s="42" t="s">
        <v>678</v>
      </c>
      <c r="D413" s="75">
        <v>167646549</v>
      </c>
      <c r="E413" s="76">
        <v>9197187041</v>
      </c>
      <c r="F413" s="42" t="s">
        <v>247</v>
      </c>
      <c r="G413" s="84">
        <v>37803</v>
      </c>
      <c r="H413" s="108" t="str">
        <f>CHOOSE(MONTH(G413),"January","February","March","April","May","June","July","August","September","October","November","December")</f>
        <v>July</v>
      </c>
      <c r="I413" s="54">
        <f ca="1">DATEDIF(G413,TODAY(),"Y")</f>
        <v>13</v>
      </c>
      <c r="J413" s="55"/>
      <c r="K413" s="56">
        <v>78100</v>
      </c>
      <c r="L413" s="57">
        <v>3</v>
      </c>
    </row>
    <row r="414" spans="1:12" ht="15" x14ac:dyDescent="0.25">
      <c r="A414" s="42" t="s">
        <v>622</v>
      </c>
      <c r="B414" s="49" t="s">
        <v>271</v>
      </c>
      <c r="C414" s="42" t="s">
        <v>678</v>
      </c>
      <c r="D414" s="75">
        <v>397835298</v>
      </c>
      <c r="E414" s="76">
        <v>9196795200</v>
      </c>
      <c r="F414" s="42" t="s">
        <v>247</v>
      </c>
      <c r="G414" s="84">
        <v>40372</v>
      </c>
      <c r="H414" s="108" t="str">
        <f>CHOOSE(MONTH(G414),"January","February","March","April","May","June","July","August","September","October","November","December")</f>
        <v>July</v>
      </c>
      <c r="I414" s="54">
        <f ca="1">DATEDIF(G414,TODAY(),"Y")</f>
        <v>6</v>
      </c>
      <c r="J414" s="55"/>
      <c r="K414" s="56">
        <v>75100</v>
      </c>
      <c r="L414" s="57">
        <v>4</v>
      </c>
    </row>
    <row r="415" spans="1:12" ht="15" x14ac:dyDescent="0.25">
      <c r="A415" s="42" t="s">
        <v>326</v>
      </c>
      <c r="B415" s="49" t="s">
        <v>251</v>
      </c>
      <c r="C415" s="42" t="s">
        <v>678</v>
      </c>
      <c r="D415" s="75">
        <v>755945415</v>
      </c>
      <c r="E415" s="76">
        <v>2524373324</v>
      </c>
      <c r="F415" s="42" t="s">
        <v>247</v>
      </c>
      <c r="G415" s="84">
        <v>40333</v>
      </c>
      <c r="H415" s="108" t="str">
        <f>CHOOSE(MONTH(G415),"January","February","March","April","May","June","July","August","September","October","November","December")</f>
        <v>June</v>
      </c>
      <c r="I415" s="54">
        <f ca="1">DATEDIF(G415,TODAY(),"Y")</f>
        <v>6</v>
      </c>
      <c r="J415" s="55"/>
      <c r="K415" s="56">
        <v>74020</v>
      </c>
      <c r="L415" s="57">
        <v>2</v>
      </c>
    </row>
    <row r="416" spans="1:12" ht="15" x14ac:dyDescent="0.25">
      <c r="A416" s="42" t="s">
        <v>353</v>
      </c>
      <c r="B416" s="49" t="s">
        <v>271</v>
      </c>
      <c r="C416" s="42" t="s">
        <v>678</v>
      </c>
      <c r="D416" s="75">
        <v>122440839</v>
      </c>
      <c r="E416" s="76">
        <v>2526525807</v>
      </c>
      <c r="F416" s="42" t="s">
        <v>261</v>
      </c>
      <c r="G416" s="84">
        <v>35961</v>
      </c>
      <c r="H416" s="108" t="str">
        <f>CHOOSE(MONTH(G416),"January","February","March","April","May","June","July","August","September","October","November","December")</f>
        <v>June</v>
      </c>
      <c r="I416" s="54">
        <f ca="1">DATEDIF(G416,TODAY(),"Y")</f>
        <v>18</v>
      </c>
      <c r="J416" s="55" t="s">
        <v>257</v>
      </c>
      <c r="K416" s="56">
        <v>20500</v>
      </c>
      <c r="L416" s="57">
        <v>3</v>
      </c>
    </row>
    <row r="417" spans="1:12" ht="15" x14ac:dyDescent="0.25">
      <c r="A417" s="42" t="s">
        <v>409</v>
      </c>
      <c r="B417" s="49" t="s">
        <v>280</v>
      </c>
      <c r="C417" s="42" t="s">
        <v>678</v>
      </c>
      <c r="D417" s="75">
        <v>665006199</v>
      </c>
      <c r="E417" s="76">
        <v>2525555817</v>
      </c>
      <c r="F417" s="42" t="s">
        <v>256</v>
      </c>
      <c r="G417" s="84">
        <v>36567</v>
      </c>
      <c r="H417" s="108" t="str">
        <f>CHOOSE(MONTH(G417),"January","February","March","April","May","June","July","August","September","October","November","December")</f>
        <v>February</v>
      </c>
      <c r="I417" s="54">
        <f ca="1">DATEDIF(G417,TODAY(),"Y")</f>
        <v>16</v>
      </c>
      <c r="J417" s="55" t="s">
        <v>276</v>
      </c>
      <c r="K417" s="56">
        <v>45450</v>
      </c>
      <c r="L417" s="57">
        <v>5</v>
      </c>
    </row>
    <row r="418" spans="1:12" ht="15" x14ac:dyDescent="0.25">
      <c r="A418" s="42" t="s">
        <v>814</v>
      </c>
      <c r="B418" s="49" t="s">
        <v>245</v>
      </c>
      <c r="C418" s="42" t="s">
        <v>678</v>
      </c>
      <c r="D418" s="75">
        <v>550291321</v>
      </c>
      <c r="E418" s="76">
        <v>9192529195</v>
      </c>
      <c r="F418" s="42" t="s">
        <v>247</v>
      </c>
      <c r="G418" s="84">
        <v>36047</v>
      </c>
      <c r="H418" s="108" t="str">
        <f>CHOOSE(MONTH(G418),"January","February","March","April","May","June","July","August","September","October","November","December")</f>
        <v>September</v>
      </c>
      <c r="I418" s="54">
        <f ca="1">DATEDIF(G418,TODAY(),"Y")</f>
        <v>18</v>
      </c>
      <c r="J418" s="55"/>
      <c r="K418" s="56">
        <v>72480</v>
      </c>
      <c r="L418" s="57">
        <v>2</v>
      </c>
    </row>
    <row r="419" spans="1:12" ht="15" x14ac:dyDescent="0.25">
      <c r="A419" s="42" t="s">
        <v>551</v>
      </c>
      <c r="B419" s="49" t="s">
        <v>271</v>
      </c>
      <c r="C419" s="42" t="s">
        <v>678</v>
      </c>
      <c r="D419" s="75">
        <v>221364716</v>
      </c>
      <c r="E419" s="76">
        <v>2521389906</v>
      </c>
      <c r="F419" s="42" t="s">
        <v>256</v>
      </c>
      <c r="G419" s="84">
        <v>36898</v>
      </c>
      <c r="H419" s="108" t="str">
        <f>CHOOSE(MONTH(G419),"January","February","March","April","May","June","July","August","September","October","November","December")</f>
        <v>January</v>
      </c>
      <c r="I419" s="54">
        <f ca="1">DATEDIF(G419,TODAY(),"Y")</f>
        <v>15</v>
      </c>
      <c r="J419" s="55" t="s">
        <v>257</v>
      </c>
      <c r="K419" s="56">
        <v>71820</v>
      </c>
      <c r="L419" s="57">
        <v>2</v>
      </c>
    </row>
    <row r="420" spans="1:12" ht="15" x14ac:dyDescent="0.25">
      <c r="A420" s="42" t="s">
        <v>473</v>
      </c>
      <c r="B420" s="49" t="s">
        <v>266</v>
      </c>
      <c r="C420" s="42" t="s">
        <v>678</v>
      </c>
      <c r="D420" s="75">
        <v>113377726</v>
      </c>
      <c r="E420" s="76">
        <v>9197494648</v>
      </c>
      <c r="F420" s="42" t="s">
        <v>256</v>
      </c>
      <c r="G420" s="84">
        <v>36466</v>
      </c>
      <c r="H420" s="108" t="str">
        <f>CHOOSE(MONTH(G420),"January","February","March","April","May","June","July","August","September","October","November","December")</f>
        <v>November</v>
      </c>
      <c r="I420" s="54">
        <f ca="1">DATEDIF(G420,TODAY(),"Y")</f>
        <v>17</v>
      </c>
      <c r="J420" s="55" t="s">
        <v>283</v>
      </c>
      <c r="K420" s="56">
        <v>68410</v>
      </c>
      <c r="L420" s="57">
        <v>5</v>
      </c>
    </row>
    <row r="421" spans="1:12" ht="15" x14ac:dyDescent="0.25">
      <c r="A421" s="42" t="s">
        <v>637</v>
      </c>
      <c r="B421" s="49" t="s">
        <v>271</v>
      </c>
      <c r="C421" s="42" t="s">
        <v>678</v>
      </c>
      <c r="D421" s="75">
        <v>788832967</v>
      </c>
      <c r="E421" s="76">
        <v>2521919147</v>
      </c>
      <c r="F421" s="42" t="s">
        <v>252</v>
      </c>
      <c r="G421" s="84">
        <v>35381</v>
      </c>
      <c r="H421" s="108" t="str">
        <f>CHOOSE(MONTH(G421),"January","February","March","April","May","June","July","August","September","October","November","December")</f>
        <v>November</v>
      </c>
      <c r="I421" s="54">
        <f ca="1">DATEDIF(G421,TODAY(),"Y")</f>
        <v>19</v>
      </c>
      <c r="J421" s="55"/>
      <c r="K421" s="56">
        <v>35312</v>
      </c>
      <c r="L421" s="57">
        <v>3</v>
      </c>
    </row>
    <row r="422" spans="1:12" ht="15" x14ac:dyDescent="0.25">
      <c r="A422" s="42" t="s">
        <v>909</v>
      </c>
      <c r="B422" s="49" t="s">
        <v>280</v>
      </c>
      <c r="C422" s="42" t="s">
        <v>678</v>
      </c>
      <c r="D422" s="75">
        <v>478004556</v>
      </c>
      <c r="E422" s="76">
        <v>9193891189</v>
      </c>
      <c r="F422" s="42" t="s">
        <v>256</v>
      </c>
      <c r="G422" s="84">
        <v>40533</v>
      </c>
      <c r="H422" s="108" t="str">
        <f>CHOOSE(MONTH(G422),"January","February","March","April","May","June","July","August","September","October","November","December")</f>
        <v>December</v>
      </c>
      <c r="I422" s="54">
        <f ca="1">DATEDIF(G422,TODAY(),"Y")</f>
        <v>5</v>
      </c>
      <c r="J422" s="55" t="s">
        <v>276</v>
      </c>
      <c r="K422" s="56">
        <v>62180</v>
      </c>
      <c r="L422" s="57">
        <v>2</v>
      </c>
    </row>
    <row r="423" spans="1:12" ht="15" x14ac:dyDescent="0.25">
      <c r="A423" s="42" t="s">
        <v>728</v>
      </c>
      <c r="B423" s="49" t="s">
        <v>245</v>
      </c>
      <c r="C423" s="42" t="s">
        <v>678</v>
      </c>
      <c r="D423" s="75">
        <v>261486180</v>
      </c>
      <c r="E423" s="76">
        <v>2522523567</v>
      </c>
      <c r="F423" s="42" t="s">
        <v>247</v>
      </c>
      <c r="G423" s="84">
        <v>37236</v>
      </c>
      <c r="H423" s="108" t="str">
        <f>CHOOSE(MONTH(G423),"January","February","March","April","May","June","July","August","September","October","November","December")</f>
        <v>December</v>
      </c>
      <c r="I423" s="54">
        <f ca="1">DATEDIF(G423,TODAY(),"Y")</f>
        <v>14</v>
      </c>
      <c r="J423" s="55"/>
      <c r="K423" s="56">
        <v>29540</v>
      </c>
      <c r="L423" s="57">
        <v>3</v>
      </c>
    </row>
    <row r="424" spans="1:12" ht="15" x14ac:dyDescent="0.25">
      <c r="A424" s="42" t="s">
        <v>967</v>
      </c>
      <c r="B424" s="49" t="s">
        <v>285</v>
      </c>
      <c r="C424" s="42" t="s">
        <v>678</v>
      </c>
      <c r="D424" s="75">
        <v>468953266</v>
      </c>
      <c r="E424" s="76">
        <v>9192126707</v>
      </c>
      <c r="F424" s="42" t="s">
        <v>256</v>
      </c>
      <c r="G424" s="84">
        <v>33741</v>
      </c>
      <c r="H424" s="108" t="str">
        <f>CHOOSE(MONTH(G424),"January","February","March","April","May","June","July","August","September","October","November","December")</f>
        <v>May</v>
      </c>
      <c r="I424" s="54">
        <f ca="1">DATEDIF(G424,TODAY(),"Y")</f>
        <v>24</v>
      </c>
      <c r="J424" s="55" t="s">
        <v>257</v>
      </c>
      <c r="K424" s="56">
        <v>48550</v>
      </c>
      <c r="L424" s="57">
        <v>5</v>
      </c>
    </row>
    <row r="425" spans="1:12" ht="15" x14ac:dyDescent="0.25">
      <c r="A425" s="42" t="s">
        <v>299</v>
      </c>
      <c r="B425" s="49" t="s">
        <v>271</v>
      </c>
      <c r="C425" s="42" t="s">
        <v>678</v>
      </c>
      <c r="D425" s="75">
        <v>797431044</v>
      </c>
      <c r="E425" s="76">
        <v>2523820613</v>
      </c>
      <c r="F425" s="42" t="s">
        <v>252</v>
      </c>
      <c r="G425" s="84">
        <v>36084</v>
      </c>
      <c r="H425" s="108" t="str">
        <f>CHOOSE(MONTH(G425),"January","February","March","April","May","June","July","August","September","October","November","December")</f>
        <v>October</v>
      </c>
      <c r="I425" s="54">
        <f ca="1">DATEDIF(G425,TODAY(),"Y")</f>
        <v>18</v>
      </c>
      <c r="J425" s="55"/>
      <c r="K425" s="56">
        <v>21668</v>
      </c>
      <c r="L425" s="57">
        <v>4</v>
      </c>
    </row>
    <row r="426" spans="1:12" ht="15" x14ac:dyDescent="0.25">
      <c r="A426" s="42" t="s">
        <v>387</v>
      </c>
      <c r="B426" s="49" t="s">
        <v>266</v>
      </c>
      <c r="C426" s="42" t="s">
        <v>678</v>
      </c>
      <c r="D426" s="75">
        <v>917195248</v>
      </c>
      <c r="E426" s="76">
        <v>9194605984</v>
      </c>
      <c r="F426" s="42" t="s">
        <v>252</v>
      </c>
      <c r="G426" s="84">
        <v>37827</v>
      </c>
      <c r="H426" s="108" t="str">
        <f>CHOOSE(MONTH(G426),"January","February","March","April","May","June","July","August","September","October","November","December")</f>
        <v>July</v>
      </c>
      <c r="I426" s="54">
        <f ca="1">DATEDIF(G426,TODAY(),"Y")</f>
        <v>13</v>
      </c>
      <c r="J426" s="55"/>
      <c r="K426" s="56">
        <v>11044</v>
      </c>
      <c r="L426" s="57">
        <v>2</v>
      </c>
    </row>
    <row r="427" spans="1:12" ht="15" x14ac:dyDescent="0.25">
      <c r="A427" s="42" t="s">
        <v>852</v>
      </c>
      <c r="B427" s="49" t="s">
        <v>285</v>
      </c>
      <c r="C427" s="42" t="s">
        <v>678</v>
      </c>
      <c r="D427" s="75">
        <v>557568959</v>
      </c>
      <c r="E427" s="76">
        <v>9192783818</v>
      </c>
      <c r="F427" s="42" t="s">
        <v>247</v>
      </c>
      <c r="G427" s="84">
        <v>35447</v>
      </c>
      <c r="H427" s="108" t="str">
        <f>CHOOSE(MONTH(G427),"January","February","March","April","May","June","July","August","September","October","November","December")</f>
        <v>January</v>
      </c>
      <c r="I427" s="54">
        <f ca="1">DATEDIF(G427,TODAY(),"Y")</f>
        <v>19</v>
      </c>
      <c r="J427" s="55"/>
      <c r="K427" s="56">
        <v>54190</v>
      </c>
      <c r="L427" s="57">
        <v>4</v>
      </c>
    </row>
    <row r="428" spans="1:12" ht="15" x14ac:dyDescent="0.25">
      <c r="A428" s="42"/>
      <c r="B428" s="49"/>
      <c r="C428" s="114"/>
      <c r="D428" s="75"/>
      <c r="E428" s="76"/>
      <c r="F428" s="42"/>
      <c r="G428" s="84"/>
      <c r="H428" s="108"/>
      <c r="I428" s="54"/>
      <c r="J428" s="55"/>
      <c r="K428" s="56"/>
      <c r="L428" s="57"/>
    </row>
    <row r="429" spans="1:12" ht="15" x14ac:dyDescent="0.25">
      <c r="A429" s="42" t="s">
        <v>554</v>
      </c>
      <c r="B429" s="49" t="s">
        <v>245</v>
      </c>
      <c r="C429" s="42" t="s">
        <v>700</v>
      </c>
      <c r="D429" s="75">
        <v>252582122</v>
      </c>
      <c r="E429" s="76">
        <v>9197764351</v>
      </c>
      <c r="F429" s="42" t="s">
        <v>247</v>
      </c>
      <c r="G429" s="84">
        <v>35451</v>
      </c>
      <c r="H429" s="108" t="str">
        <f>CHOOSE(MONTH(G429),"January","February","March","April","May","June","July","August","September","October","November","December")</f>
        <v>January</v>
      </c>
      <c r="I429" s="54">
        <f ca="1">DATEDIF(G429,TODAY(),"Y")</f>
        <v>19</v>
      </c>
      <c r="J429" s="55"/>
      <c r="K429" s="56">
        <v>25120</v>
      </c>
      <c r="L429" s="57">
        <v>2</v>
      </c>
    </row>
    <row r="430" spans="1:12" ht="15" x14ac:dyDescent="0.25">
      <c r="A430" s="42" t="s">
        <v>834</v>
      </c>
      <c r="B430" s="49" t="s">
        <v>271</v>
      </c>
      <c r="C430" s="42" t="s">
        <v>700</v>
      </c>
      <c r="D430" s="75">
        <v>121688720</v>
      </c>
      <c r="E430" s="76">
        <v>9194794769</v>
      </c>
      <c r="F430" s="42" t="s">
        <v>247</v>
      </c>
      <c r="G430" s="84">
        <v>35567</v>
      </c>
      <c r="H430" s="108" t="str">
        <f>CHOOSE(MONTH(G430),"January","February","March","April","May","June","July","August","September","October","November","December")</f>
        <v>May</v>
      </c>
      <c r="I430" s="54">
        <f ca="1">DATEDIF(G430,TODAY(),"Y")</f>
        <v>19</v>
      </c>
      <c r="J430" s="55"/>
      <c r="K430" s="56">
        <v>44820</v>
      </c>
      <c r="L430" s="57">
        <v>4</v>
      </c>
    </row>
    <row r="431" spans="1:12" ht="15" x14ac:dyDescent="0.25">
      <c r="A431" s="42" t="s">
        <v>464</v>
      </c>
      <c r="B431" s="49" t="s">
        <v>245</v>
      </c>
      <c r="C431" s="42" t="s">
        <v>700</v>
      </c>
      <c r="D431" s="75">
        <v>425943144</v>
      </c>
      <c r="E431" s="76">
        <v>2522911046</v>
      </c>
      <c r="F431" s="42" t="s">
        <v>247</v>
      </c>
      <c r="G431" s="84">
        <v>34408</v>
      </c>
      <c r="H431" s="108" t="str">
        <f>CHOOSE(MONTH(G431),"January","February","March","April","May","June","July","August","September","October","November","December")</f>
        <v>March</v>
      </c>
      <c r="I431" s="54">
        <f ca="1">DATEDIF(G431,TODAY(),"Y")</f>
        <v>22</v>
      </c>
      <c r="J431" s="55"/>
      <c r="K431" s="56">
        <v>71700</v>
      </c>
      <c r="L431" s="57">
        <v>2</v>
      </c>
    </row>
    <row r="432" spans="1:12" ht="15" x14ac:dyDescent="0.25">
      <c r="A432" s="42" t="s">
        <v>291</v>
      </c>
      <c r="B432" s="49" t="s">
        <v>285</v>
      </c>
      <c r="C432" s="42" t="s">
        <v>700</v>
      </c>
      <c r="D432" s="75">
        <v>974912089</v>
      </c>
      <c r="E432" s="76">
        <v>9192601200</v>
      </c>
      <c r="F432" s="42" t="s">
        <v>256</v>
      </c>
      <c r="G432" s="84">
        <v>34814</v>
      </c>
      <c r="H432" s="108" t="str">
        <f>CHOOSE(MONTH(G432),"January","February","March","April","May","June","July","August","September","October","November","December")</f>
        <v>April</v>
      </c>
      <c r="I432" s="54">
        <f ca="1">DATEDIF(G432,TODAY(),"Y")</f>
        <v>21</v>
      </c>
      <c r="J432" s="55" t="s">
        <v>257</v>
      </c>
      <c r="K432" s="56">
        <v>63190</v>
      </c>
      <c r="L432" s="57">
        <v>1</v>
      </c>
    </row>
    <row r="433" spans="1:12" ht="15" x14ac:dyDescent="0.25">
      <c r="A433" s="42"/>
      <c r="B433" s="49"/>
      <c r="C433" s="114"/>
      <c r="D433" s="75"/>
      <c r="E433" s="76"/>
      <c r="F433" s="42"/>
      <c r="G433" s="84"/>
      <c r="H433" s="108"/>
      <c r="I433" s="54"/>
      <c r="J433" s="55"/>
      <c r="K433" s="56"/>
      <c r="L433" s="57"/>
    </row>
    <row r="434" spans="1:12" ht="15" x14ac:dyDescent="0.25">
      <c r="A434" s="42" t="s">
        <v>451</v>
      </c>
      <c r="B434" s="49" t="s">
        <v>285</v>
      </c>
      <c r="C434" s="42" t="s">
        <v>705</v>
      </c>
      <c r="D434" s="75">
        <v>555718765</v>
      </c>
      <c r="E434" s="76">
        <v>2524618773</v>
      </c>
      <c r="F434" s="42" t="s">
        <v>256</v>
      </c>
      <c r="G434" s="84">
        <v>39485</v>
      </c>
      <c r="H434" s="108" t="str">
        <f>CHOOSE(MONTH(G434),"January","February","March","April","May","June","July","August","September","October","November","December")</f>
        <v>February</v>
      </c>
      <c r="I434" s="54">
        <f ca="1">DATEDIF(G434,TODAY(),"Y")</f>
        <v>8</v>
      </c>
      <c r="J434" s="55" t="s">
        <v>257</v>
      </c>
      <c r="K434" s="56">
        <v>88850</v>
      </c>
      <c r="L434" s="57">
        <v>3</v>
      </c>
    </row>
    <row r="435" spans="1:12" ht="15" x14ac:dyDescent="0.25">
      <c r="A435" s="42" t="s">
        <v>646</v>
      </c>
      <c r="B435" s="49" t="s">
        <v>280</v>
      </c>
      <c r="C435" s="42" t="s">
        <v>705</v>
      </c>
      <c r="D435" s="75">
        <v>542214575</v>
      </c>
      <c r="E435" s="76">
        <v>2522172913</v>
      </c>
      <c r="F435" s="42" t="s">
        <v>256</v>
      </c>
      <c r="G435" s="84">
        <v>34702</v>
      </c>
      <c r="H435" s="108" t="str">
        <f>CHOOSE(MONTH(G435),"January","February","March","April","May","June","July","August","September","October","November","December")</f>
        <v>January</v>
      </c>
      <c r="I435" s="54">
        <f ca="1">DATEDIF(G435,TODAY(),"Y")</f>
        <v>21</v>
      </c>
      <c r="J435" s="55" t="s">
        <v>257</v>
      </c>
      <c r="K435" s="56">
        <v>87030</v>
      </c>
      <c r="L435" s="57">
        <v>3</v>
      </c>
    </row>
    <row r="436" spans="1:12" ht="15" x14ac:dyDescent="0.25">
      <c r="A436" s="42" t="s">
        <v>888</v>
      </c>
      <c r="B436" s="49" t="s">
        <v>245</v>
      </c>
      <c r="C436" s="42" t="s">
        <v>705</v>
      </c>
      <c r="D436" s="75">
        <v>972791650</v>
      </c>
      <c r="E436" s="76">
        <v>2525236892</v>
      </c>
      <c r="F436" s="42" t="s">
        <v>261</v>
      </c>
      <c r="G436" s="84">
        <v>37470</v>
      </c>
      <c r="H436" s="108" t="str">
        <f>CHOOSE(MONTH(G436),"January","February","March","April","May","June","July","August","September","October","November","December")</f>
        <v>August</v>
      </c>
      <c r="I436" s="54">
        <f ca="1">DATEDIF(G436,TODAY(),"Y")</f>
        <v>14</v>
      </c>
      <c r="J436" s="55" t="s">
        <v>257</v>
      </c>
      <c r="K436" s="56">
        <v>33810</v>
      </c>
      <c r="L436" s="57">
        <v>5</v>
      </c>
    </row>
    <row r="437" spans="1:12" ht="15" x14ac:dyDescent="0.25">
      <c r="A437" s="42" t="s">
        <v>688</v>
      </c>
      <c r="B437" s="49" t="s">
        <v>271</v>
      </c>
      <c r="C437" s="42" t="s">
        <v>705</v>
      </c>
      <c r="D437" s="75">
        <v>972086665</v>
      </c>
      <c r="E437" s="76">
        <v>2526007063</v>
      </c>
      <c r="F437" s="42" t="s">
        <v>256</v>
      </c>
      <c r="G437" s="84">
        <v>38227</v>
      </c>
      <c r="H437" s="108" t="str">
        <f>CHOOSE(MONTH(G437),"January","February","March","April","May","June","July","August","September","October","November","December")</f>
        <v>August</v>
      </c>
      <c r="I437" s="54">
        <f ca="1">DATEDIF(G437,TODAY(),"Y")</f>
        <v>12</v>
      </c>
      <c r="J437" s="55" t="s">
        <v>283</v>
      </c>
      <c r="K437" s="56">
        <v>86200</v>
      </c>
      <c r="L437" s="57">
        <v>3</v>
      </c>
    </row>
    <row r="438" spans="1:12" ht="15" x14ac:dyDescent="0.25">
      <c r="A438" s="42" t="s">
        <v>928</v>
      </c>
      <c r="B438" s="49" t="s">
        <v>271</v>
      </c>
      <c r="C438" s="42" t="s">
        <v>705</v>
      </c>
      <c r="D438" s="75">
        <v>948252103</v>
      </c>
      <c r="E438" s="76">
        <v>9197430732</v>
      </c>
      <c r="F438" s="42" t="s">
        <v>252</v>
      </c>
      <c r="G438" s="84">
        <v>36329</v>
      </c>
      <c r="H438" s="108" t="str">
        <f>CHOOSE(MONTH(G438),"January","February","March","April","May","June","July","August","September","October","November","December")</f>
        <v>June</v>
      </c>
      <c r="I438" s="54">
        <f ca="1">DATEDIF(G438,TODAY(),"Y")</f>
        <v>17</v>
      </c>
      <c r="J438" s="55"/>
      <c r="K438" s="56">
        <v>39764</v>
      </c>
      <c r="L438" s="57">
        <v>1</v>
      </c>
    </row>
    <row r="439" spans="1:12" ht="15" x14ac:dyDescent="0.25">
      <c r="A439" s="42" t="s">
        <v>874</v>
      </c>
      <c r="B439" s="49" t="s">
        <v>251</v>
      </c>
      <c r="C439" s="42" t="s">
        <v>705</v>
      </c>
      <c r="D439" s="75">
        <v>120479503</v>
      </c>
      <c r="E439" s="76">
        <v>9196069116</v>
      </c>
      <c r="F439" s="42" t="s">
        <v>261</v>
      </c>
      <c r="G439" s="84">
        <v>39299</v>
      </c>
      <c r="H439" s="108" t="str">
        <f>CHOOSE(MONTH(G439),"January","February","March","April","May","June","July","August","September","October","November","December")</f>
        <v>August</v>
      </c>
      <c r="I439" s="54">
        <f ca="1">DATEDIF(G439,TODAY(),"Y")</f>
        <v>9</v>
      </c>
      <c r="J439" s="55" t="s">
        <v>276</v>
      </c>
      <c r="K439" s="56">
        <v>47760</v>
      </c>
      <c r="L439" s="57">
        <v>3</v>
      </c>
    </row>
    <row r="440" spans="1:12" ht="15" x14ac:dyDescent="0.25">
      <c r="A440" s="42" t="s">
        <v>991</v>
      </c>
      <c r="B440" s="49" t="s">
        <v>251</v>
      </c>
      <c r="C440" s="42" t="s">
        <v>705</v>
      </c>
      <c r="D440" s="75">
        <v>711445298</v>
      </c>
      <c r="E440" s="76">
        <v>2528359862</v>
      </c>
      <c r="F440" s="42" t="s">
        <v>247</v>
      </c>
      <c r="G440" s="112">
        <v>40620</v>
      </c>
      <c r="H440" s="108" t="str">
        <f>CHOOSE(MONTH(G440),"January","February","March","April","May","June","July","August","September","October","November","December")</f>
        <v>March</v>
      </c>
      <c r="I440" s="54">
        <f ca="1">DATEDIF(G440,TODAY(),"Y")</f>
        <v>5</v>
      </c>
      <c r="J440" s="55"/>
      <c r="K440" s="56">
        <v>84300</v>
      </c>
      <c r="L440" s="57">
        <v>1</v>
      </c>
    </row>
    <row r="441" spans="1:12" ht="15" x14ac:dyDescent="0.25">
      <c r="A441" s="42" t="s">
        <v>408</v>
      </c>
      <c r="B441" s="49" t="s">
        <v>271</v>
      </c>
      <c r="C441" s="42" t="s">
        <v>705</v>
      </c>
      <c r="D441" s="75">
        <v>816607187</v>
      </c>
      <c r="E441" s="76">
        <v>9195520461</v>
      </c>
      <c r="F441" s="42" t="s">
        <v>252</v>
      </c>
      <c r="G441" s="106">
        <v>40452</v>
      </c>
      <c r="H441" s="108" t="str">
        <f>CHOOSE(MONTH(G441),"January","February","March","April","May","June","July","August","September","October","November","December")</f>
        <v>October</v>
      </c>
      <c r="I441" s="54">
        <f ca="1">DATEDIF(G441,TODAY(),"Y")</f>
        <v>6</v>
      </c>
      <c r="J441" s="55"/>
      <c r="K441" s="56">
        <v>9180</v>
      </c>
      <c r="L441" s="57">
        <v>3</v>
      </c>
    </row>
    <row r="442" spans="1:12" ht="15" x14ac:dyDescent="0.25">
      <c r="A442" s="42" t="s">
        <v>600</v>
      </c>
      <c r="B442" s="49" t="s">
        <v>245</v>
      </c>
      <c r="C442" s="42" t="s">
        <v>705</v>
      </c>
      <c r="D442" s="75">
        <v>847051774</v>
      </c>
      <c r="E442" s="76">
        <v>2522881600</v>
      </c>
      <c r="F442" s="42" t="s">
        <v>256</v>
      </c>
      <c r="G442" s="84">
        <v>39657</v>
      </c>
      <c r="H442" s="108" t="str">
        <f>CHOOSE(MONTH(G442),"January","February","March","April","May","June","July","August","September","October","November","December")</f>
        <v>July</v>
      </c>
      <c r="I442" s="54">
        <f ca="1">DATEDIF(G442,TODAY(),"Y")</f>
        <v>8</v>
      </c>
      <c r="J442" s="55" t="s">
        <v>276</v>
      </c>
      <c r="K442" s="56">
        <v>80880</v>
      </c>
      <c r="L442" s="57">
        <v>1</v>
      </c>
    </row>
    <row r="443" spans="1:12" ht="15" x14ac:dyDescent="0.25">
      <c r="A443" s="42" t="s">
        <v>947</v>
      </c>
      <c r="B443" s="49" t="s">
        <v>271</v>
      </c>
      <c r="C443" s="42" t="s">
        <v>705</v>
      </c>
      <c r="D443" s="75">
        <v>272714784</v>
      </c>
      <c r="E443" s="76">
        <v>9191162663</v>
      </c>
      <c r="F443" s="42" t="s">
        <v>252</v>
      </c>
      <c r="G443" s="84">
        <v>37711</v>
      </c>
      <c r="H443" s="108" t="str">
        <f>CHOOSE(MONTH(G443),"January","February","March","April","May","June","July","August","September","October","November","December")</f>
        <v>March</v>
      </c>
      <c r="I443" s="54">
        <f ca="1">DATEDIF(G443,TODAY(),"Y")</f>
        <v>13</v>
      </c>
      <c r="J443" s="55"/>
      <c r="K443" s="56">
        <v>21648</v>
      </c>
      <c r="L443" s="57">
        <v>2</v>
      </c>
    </row>
    <row r="444" spans="1:12" ht="15" x14ac:dyDescent="0.25">
      <c r="A444" s="42" t="s">
        <v>535</v>
      </c>
      <c r="B444" s="49" t="s">
        <v>266</v>
      </c>
      <c r="C444" s="42" t="s">
        <v>705</v>
      </c>
      <c r="D444" s="75">
        <v>443238477</v>
      </c>
      <c r="E444" s="76">
        <v>9198624601</v>
      </c>
      <c r="F444" s="42" t="s">
        <v>256</v>
      </c>
      <c r="G444" s="84">
        <v>39678</v>
      </c>
      <c r="H444" s="108" t="str">
        <f>CHOOSE(MONTH(G444),"January","February","March","April","May","June","July","August","September","October","November","December")</f>
        <v>August</v>
      </c>
      <c r="I444" s="54">
        <f ca="1">DATEDIF(G444,TODAY(),"Y")</f>
        <v>8</v>
      </c>
      <c r="J444" s="55" t="s">
        <v>283</v>
      </c>
      <c r="K444" s="56">
        <v>80090</v>
      </c>
      <c r="L444" s="57">
        <v>2</v>
      </c>
    </row>
    <row r="445" spans="1:12" ht="15" x14ac:dyDescent="0.25">
      <c r="A445" s="42" t="s">
        <v>849</v>
      </c>
      <c r="B445" s="49" t="s">
        <v>285</v>
      </c>
      <c r="C445" s="42" t="s">
        <v>705</v>
      </c>
      <c r="D445" s="75">
        <v>474117484</v>
      </c>
      <c r="E445" s="76">
        <v>9196132408</v>
      </c>
      <c r="F445" s="42" t="s">
        <v>256</v>
      </c>
      <c r="G445" s="84">
        <v>33642</v>
      </c>
      <c r="H445" s="108" t="str">
        <f>CHOOSE(MONTH(G445),"January","February","March","April","May","June","July","August","September","October","November","December")</f>
        <v>February</v>
      </c>
      <c r="I445" s="54">
        <f ca="1">DATEDIF(G445,TODAY(),"Y")</f>
        <v>24</v>
      </c>
      <c r="J445" s="55" t="s">
        <v>257</v>
      </c>
      <c r="K445" s="56">
        <v>79770</v>
      </c>
      <c r="L445" s="57">
        <v>4</v>
      </c>
    </row>
    <row r="446" spans="1:12" ht="15" x14ac:dyDescent="0.25">
      <c r="A446" s="42" t="s">
        <v>365</v>
      </c>
      <c r="B446" s="49" t="s">
        <v>271</v>
      </c>
      <c r="C446" s="42" t="s">
        <v>705</v>
      </c>
      <c r="D446" s="75">
        <v>150132247</v>
      </c>
      <c r="E446" s="76">
        <v>9198561612</v>
      </c>
      <c r="F446" s="42" t="s">
        <v>256</v>
      </c>
      <c r="G446" s="84">
        <v>33881</v>
      </c>
      <c r="H446" s="108" t="str">
        <f>CHOOSE(MONTH(G446),"January","February","March","April","May","June","July","August","September","October","November","December")</f>
        <v>October</v>
      </c>
      <c r="I446" s="54">
        <f ca="1">DATEDIF(G446,TODAY(),"Y")</f>
        <v>24</v>
      </c>
      <c r="J446" s="55" t="s">
        <v>276</v>
      </c>
      <c r="K446" s="56">
        <v>46910</v>
      </c>
      <c r="L446" s="57">
        <v>3</v>
      </c>
    </row>
    <row r="447" spans="1:12" ht="15" x14ac:dyDescent="0.25">
      <c r="A447" s="42" t="s">
        <v>443</v>
      </c>
      <c r="B447" s="49" t="s">
        <v>271</v>
      </c>
      <c r="C447" s="42" t="s">
        <v>705</v>
      </c>
      <c r="D447" s="75">
        <v>803776506</v>
      </c>
      <c r="E447" s="76">
        <v>2526920236</v>
      </c>
      <c r="F447" s="42" t="s">
        <v>256</v>
      </c>
      <c r="G447" s="84">
        <v>35412</v>
      </c>
      <c r="H447" s="108" t="str">
        <f>CHOOSE(MONTH(G447),"January","February","March","April","May","June","July","August","September","October","November","December")</f>
        <v>December</v>
      </c>
      <c r="I447" s="54">
        <f ca="1">DATEDIF(G447,TODAY(),"Y")</f>
        <v>19</v>
      </c>
      <c r="J447" s="55" t="s">
        <v>262</v>
      </c>
      <c r="K447" s="56">
        <v>77950</v>
      </c>
      <c r="L447" s="57">
        <v>4</v>
      </c>
    </row>
    <row r="448" spans="1:12" ht="15" x14ac:dyDescent="0.25">
      <c r="A448" s="42" t="s">
        <v>952</v>
      </c>
      <c r="B448" s="49" t="s">
        <v>266</v>
      </c>
      <c r="C448" s="42" t="s">
        <v>705</v>
      </c>
      <c r="D448" s="75">
        <v>297806507</v>
      </c>
      <c r="E448" s="76">
        <v>9197312659</v>
      </c>
      <c r="F448" s="42" t="s">
        <v>256</v>
      </c>
      <c r="G448" s="84">
        <v>34740</v>
      </c>
      <c r="H448" s="108" t="str">
        <f>CHOOSE(MONTH(G448),"January","February","March","April","May","June","July","August","September","October","November","December")</f>
        <v>February</v>
      </c>
      <c r="I448" s="54">
        <f ca="1">DATEDIF(G448,TODAY(),"Y")</f>
        <v>21</v>
      </c>
      <c r="J448" s="55" t="s">
        <v>267</v>
      </c>
      <c r="K448" s="56">
        <v>77840</v>
      </c>
      <c r="L448" s="57">
        <v>2</v>
      </c>
    </row>
    <row r="449" spans="1:12" ht="15" x14ac:dyDescent="0.25">
      <c r="A449" s="42" t="s">
        <v>419</v>
      </c>
      <c r="B449" s="49" t="s">
        <v>271</v>
      </c>
      <c r="C449" s="42" t="s">
        <v>705</v>
      </c>
      <c r="D449" s="75">
        <v>290385638</v>
      </c>
      <c r="E449" s="76">
        <v>9194518022</v>
      </c>
      <c r="F449" s="42" t="s">
        <v>261</v>
      </c>
      <c r="G449" s="84">
        <v>33502</v>
      </c>
      <c r="H449" s="108" t="str">
        <f>CHOOSE(MONTH(G449),"January","February","March","April","May","June","July","August","September","October","November","December")</f>
        <v>September</v>
      </c>
      <c r="I449" s="54">
        <f ca="1">DATEDIF(G449,TODAY(),"Y")</f>
        <v>25</v>
      </c>
      <c r="J449" s="55" t="s">
        <v>262</v>
      </c>
      <c r="K449" s="56">
        <v>35045</v>
      </c>
      <c r="L449" s="57">
        <v>4</v>
      </c>
    </row>
    <row r="450" spans="1:12" ht="15" x14ac:dyDescent="0.25">
      <c r="A450" s="48" t="s">
        <v>260</v>
      </c>
      <c r="B450" s="49" t="s">
        <v>285</v>
      </c>
      <c r="C450" s="42" t="s">
        <v>705</v>
      </c>
      <c r="D450" s="75">
        <v>619465100</v>
      </c>
      <c r="E450" s="76">
        <v>9194629606</v>
      </c>
      <c r="F450" s="42" t="s">
        <v>256</v>
      </c>
      <c r="G450" s="84">
        <v>38916</v>
      </c>
      <c r="H450" s="108" t="str">
        <f>CHOOSE(MONTH(G450),"January","February","March","April","May","June","July","August","September","October","November","December")</f>
        <v>July</v>
      </c>
      <c r="I450" s="54">
        <f ca="1">DATEDIF(G450,TODAY(),"Y")</f>
        <v>10</v>
      </c>
      <c r="J450" s="55" t="s">
        <v>262</v>
      </c>
      <c r="K450" s="56">
        <v>27560</v>
      </c>
      <c r="L450" s="57">
        <v>2</v>
      </c>
    </row>
    <row r="451" spans="1:12" ht="15" x14ac:dyDescent="0.25">
      <c r="A451" s="42" t="s">
        <v>398</v>
      </c>
      <c r="B451" s="49" t="s">
        <v>245</v>
      </c>
      <c r="C451" s="42" t="s">
        <v>705</v>
      </c>
      <c r="D451" s="75">
        <v>623823805</v>
      </c>
      <c r="E451" s="76">
        <v>9192602559</v>
      </c>
      <c r="F451" s="42" t="s">
        <v>252</v>
      </c>
      <c r="G451" s="112">
        <v>40403</v>
      </c>
      <c r="H451" s="108" t="str">
        <f>CHOOSE(MONTH(G451),"January","February","March","April","May","June","July","August","September","October","November","December")</f>
        <v>August</v>
      </c>
      <c r="I451" s="54">
        <f ca="1">DATEDIF(G451,TODAY(),"Y")</f>
        <v>6</v>
      </c>
      <c r="J451" s="55"/>
      <c r="K451" s="56">
        <v>15056</v>
      </c>
      <c r="L451" s="57">
        <v>5</v>
      </c>
    </row>
    <row r="452" spans="1:12" ht="15" x14ac:dyDescent="0.25">
      <c r="A452" s="42" t="s">
        <v>950</v>
      </c>
      <c r="B452" s="49" t="s">
        <v>245</v>
      </c>
      <c r="C452" s="42" t="s">
        <v>705</v>
      </c>
      <c r="D452" s="75">
        <v>724193735</v>
      </c>
      <c r="E452" s="76">
        <v>2528627048</v>
      </c>
      <c r="F452" s="42" t="s">
        <v>256</v>
      </c>
      <c r="G452" s="84">
        <v>33620</v>
      </c>
      <c r="H452" s="108" t="str">
        <f>CHOOSE(MONTH(G452),"January","February","March","April","May","June","July","August","September","October","November","December")</f>
        <v>January</v>
      </c>
      <c r="I452" s="54">
        <f ca="1">DATEDIF(G452,TODAY(),"Y")</f>
        <v>24</v>
      </c>
      <c r="J452" s="55" t="s">
        <v>283</v>
      </c>
      <c r="K452" s="56">
        <v>43190</v>
      </c>
      <c r="L452" s="57">
        <v>2</v>
      </c>
    </row>
    <row r="453" spans="1:12" ht="15" x14ac:dyDescent="0.25">
      <c r="A453" s="42" t="s">
        <v>892</v>
      </c>
      <c r="B453" s="49" t="s">
        <v>285</v>
      </c>
      <c r="C453" s="42" t="s">
        <v>705</v>
      </c>
      <c r="D453" s="75">
        <v>868128171</v>
      </c>
      <c r="E453" s="76">
        <v>2525048978</v>
      </c>
      <c r="F453" s="42" t="s">
        <v>256</v>
      </c>
      <c r="G453" s="84">
        <v>33878</v>
      </c>
      <c r="H453" s="108" t="str">
        <f>CHOOSE(MONTH(G453),"January","February","March","April","May","June","July","August","September","October","November","December")</f>
        <v>October</v>
      </c>
      <c r="I453" s="54">
        <f ca="1">DATEDIF(G453,TODAY(),"Y")</f>
        <v>24</v>
      </c>
      <c r="J453" s="55" t="s">
        <v>276</v>
      </c>
      <c r="K453" s="56">
        <v>75370</v>
      </c>
      <c r="L453" s="57">
        <v>2</v>
      </c>
    </row>
    <row r="454" spans="1:12" ht="15" x14ac:dyDescent="0.25">
      <c r="A454" s="42" t="s">
        <v>384</v>
      </c>
      <c r="B454" s="49" t="s">
        <v>271</v>
      </c>
      <c r="C454" s="42" t="s">
        <v>705</v>
      </c>
      <c r="D454" s="75">
        <v>839899522</v>
      </c>
      <c r="E454" s="76">
        <v>9195512521</v>
      </c>
      <c r="F454" s="42" t="s">
        <v>256</v>
      </c>
      <c r="G454" s="84">
        <v>35969</v>
      </c>
      <c r="H454" s="108" t="str">
        <f>CHOOSE(MONTH(G454),"January","February","March","April","May","June","July","August","September","October","November","December")</f>
        <v>June</v>
      </c>
      <c r="I454" s="54">
        <f ca="1">DATEDIF(G454,TODAY(),"Y")</f>
        <v>18</v>
      </c>
      <c r="J454" s="55" t="s">
        <v>257</v>
      </c>
      <c r="K454" s="56">
        <v>74530</v>
      </c>
      <c r="L454" s="57">
        <v>5</v>
      </c>
    </row>
    <row r="455" spans="1:12" ht="15" x14ac:dyDescent="0.25">
      <c r="A455" s="42" t="s">
        <v>1001</v>
      </c>
      <c r="B455" s="49" t="s">
        <v>251</v>
      </c>
      <c r="C455" s="42" t="s">
        <v>705</v>
      </c>
      <c r="D455" s="75">
        <v>302854692</v>
      </c>
      <c r="E455" s="76">
        <v>2528651774</v>
      </c>
      <c r="F455" s="42" t="s">
        <v>261</v>
      </c>
      <c r="G455" s="84">
        <v>34617</v>
      </c>
      <c r="H455" s="108" t="str">
        <f>CHOOSE(MONTH(G455),"January","February","March","April","May","June","July","August","September","October","November","December")</f>
        <v>October</v>
      </c>
      <c r="I455" s="54">
        <f ca="1">DATEDIF(G455,TODAY(),"Y")</f>
        <v>22</v>
      </c>
      <c r="J455" s="55" t="s">
        <v>257</v>
      </c>
      <c r="K455" s="56">
        <v>13435</v>
      </c>
      <c r="L455" s="57">
        <v>1</v>
      </c>
    </row>
    <row r="456" spans="1:12" ht="15" x14ac:dyDescent="0.25">
      <c r="A456" s="42" t="s">
        <v>453</v>
      </c>
      <c r="B456" s="49" t="s">
        <v>271</v>
      </c>
      <c r="C456" s="42" t="s">
        <v>705</v>
      </c>
      <c r="D456" s="75">
        <v>934447306</v>
      </c>
      <c r="E456" s="76">
        <v>2525981242</v>
      </c>
      <c r="F456" s="42" t="s">
        <v>256</v>
      </c>
      <c r="G456" s="84">
        <v>34111</v>
      </c>
      <c r="H456" s="108" t="str">
        <f>CHOOSE(MONTH(G456),"January","February","March","April","May","June","July","August","September","October","November","December")</f>
        <v>May</v>
      </c>
      <c r="I456" s="54">
        <f ca="1">DATEDIF(G456,TODAY(),"Y")</f>
        <v>23</v>
      </c>
      <c r="J456" s="55" t="s">
        <v>283</v>
      </c>
      <c r="K456" s="56">
        <v>73030</v>
      </c>
      <c r="L456" s="57">
        <v>5</v>
      </c>
    </row>
    <row r="457" spans="1:12" ht="15" x14ac:dyDescent="0.25">
      <c r="A457" s="42" t="s">
        <v>791</v>
      </c>
      <c r="B457" s="49" t="s">
        <v>245</v>
      </c>
      <c r="C457" s="42" t="s">
        <v>705</v>
      </c>
      <c r="D457" s="75">
        <v>294130565</v>
      </c>
      <c r="E457" s="76">
        <v>9193744359</v>
      </c>
      <c r="F457" s="42" t="s">
        <v>256</v>
      </c>
      <c r="G457" s="84">
        <v>33636</v>
      </c>
      <c r="H457" s="108" t="str">
        <f>CHOOSE(MONTH(G457),"January","February","March","April","May","June","July","August","September","October","November","December")</f>
        <v>February</v>
      </c>
      <c r="I457" s="54">
        <f ca="1">DATEDIF(G457,TODAY(),"Y")</f>
        <v>24</v>
      </c>
      <c r="J457" s="55" t="s">
        <v>257</v>
      </c>
      <c r="K457" s="56">
        <v>26360</v>
      </c>
      <c r="L457" s="57">
        <v>1</v>
      </c>
    </row>
    <row r="458" spans="1:12" ht="15" x14ac:dyDescent="0.25">
      <c r="A458" s="42" t="s">
        <v>736</v>
      </c>
      <c r="B458" s="49" t="s">
        <v>285</v>
      </c>
      <c r="C458" s="42" t="s">
        <v>705</v>
      </c>
      <c r="D458" s="75">
        <v>365499498</v>
      </c>
      <c r="E458" s="76">
        <v>2523575849</v>
      </c>
      <c r="F458" s="42" t="s">
        <v>256</v>
      </c>
      <c r="G458" s="84">
        <v>38807</v>
      </c>
      <c r="H458" s="108" t="str">
        <f>CHOOSE(MONTH(G458),"January","February","March","April","May","June","July","August","September","October","November","December")</f>
        <v>March</v>
      </c>
      <c r="I458" s="54">
        <f ca="1">DATEDIF(G458,TODAY(),"Y")</f>
        <v>10</v>
      </c>
      <c r="J458" s="55" t="s">
        <v>257</v>
      </c>
      <c r="K458" s="56">
        <v>47060</v>
      </c>
      <c r="L458" s="57">
        <v>4</v>
      </c>
    </row>
    <row r="459" spans="1:12" ht="15" x14ac:dyDescent="0.25">
      <c r="A459" s="42" t="s">
        <v>998</v>
      </c>
      <c r="B459" s="49" t="s">
        <v>285</v>
      </c>
      <c r="C459" s="42" t="s">
        <v>705</v>
      </c>
      <c r="D459" s="75">
        <v>145240921</v>
      </c>
      <c r="E459" s="76">
        <v>2525227751</v>
      </c>
      <c r="F459" s="42" t="s">
        <v>256</v>
      </c>
      <c r="G459" s="84">
        <v>39404</v>
      </c>
      <c r="H459" s="108" t="str">
        <f>CHOOSE(MONTH(G459),"January","February","March","April","May","June","July","August","September","October","November","December")</f>
        <v>November</v>
      </c>
      <c r="I459" s="54">
        <f ca="1">DATEDIF(G459,TODAY(),"Y")</f>
        <v>8</v>
      </c>
      <c r="J459" s="55" t="s">
        <v>267</v>
      </c>
      <c r="K459" s="56">
        <v>50990</v>
      </c>
      <c r="L459" s="57">
        <v>4</v>
      </c>
    </row>
    <row r="460" spans="1:12" ht="15" x14ac:dyDescent="0.25">
      <c r="A460" s="42" t="s">
        <v>606</v>
      </c>
      <c r="B460" s="49" t="s">
        <v>285</v>
      </c>
      <c r="C460" s="42" t="s">
        <v>705</v>
      </c>
      <c r="D460" s="75">
        <v>210173249</v>
      </c>
      <c r="E460" s="76">
        <v>2525780571</v>
      </c>
      <c r="F460" s="42" t="s">
        <v>247</v>
      </c>
      <c r="G460" s="84">
        <v>33811</v>
      </c>
      <c r="H460" s="108" t="str">
        <f>CHOOSE(MONTH(G460),"January","February","March","April","May","June","July","August","September","October","November","December")</f>
        <v>July</v>
      </c>
      <c r="I460" s="54">
        <f ca="1">DATEDIF(G460,TODAY(),"Y")</f>
        <v>24</v>
      </c>
      <c r="J460" s="55"/>
      <c r="K460" s="56">
        <v>32650</v>
      </c>
      <c r="L460" s="57">
        <v>1</v>
      </c>
    </row>
    <row r="461" spans="1:12" ht="15" x14ac:dyDescent="0.25">
      <c r="A461" s="42" t="s">
        <v>476</v>
      </c>
      <c r="B461" s="49" t="s">
        <v>271</v>
      </c>
      <c r="C461" s="42" t="s">
        <v>705</v>
      </c>
      <c r="D461" s="75">
        <v>960967007</v>
      </c>
      <c r="E461" s="76">
        <v>9194694995</v>
      </c>
      <c r="F461" s="42" t="s">
        <v>247</v>
      </c>
      <c r="G461" s="84">
        <v>36623</v>
      </c>
      <c r="H461" s="108" t="str">
        <f>CHOOSE(MONTH(G461),"January","February","March","April","May","June","July","August","September","October","November","December")</f>
        <v>April</v>
      </c>
      <c r="I461" s="54">
        <f ca="1">DATEDIF(G461,TODAY(),"Y")</f>
        <v>16</v>
      </c>
      <c r="J461" s="55"/>
      <c r="K461" s="56">
        <v>30300</v>
      </c>
      <c r="L461" s="57">
        <v>1</v>
      </c>
    </row>
    <row r="462" spans="1:12" ht="15" x14ac:dyDescent="0.25">
      <c r="A462" s="42" t="s">
        <v>1004</v>
      </c>
      <c r="B462" s="49" t="s">
        <v>285</v>
      </c>
      <c r="C462" s="42" t="s">
        <v>705</v>
      </c>
      <c r="D462" s="75">
        <v>248820119</v>
      </c>
      <c r="E462" s="76">
        <v>2521711684</v>
      </c>
      <c r="F462" s="42" t="s">
        <v>256</v>
      </c>
      <c r="G462" s="84">
        <v>35903</v>
      </c>
      <c r="H462" s="108" t="str">
        <f>CHOOSE(MONTH(G462),"January","February","March","April","May","June","July","August","September","October","November","December")</f>
        <v>April</v>
      </c>
      <c r="I462" s="54">
        <f ca="1">DATEDIF(G462,TODAY(),"Y")</f>
        <v>18</v>
      </c>
      <c r="J462" s="55" t="s">
        <v>257</v>
      </c>
      <c r="K462" s="56">
        <v>68520</v>
      </c>
      <c r="L462" s="57">
        <v>5</v>
      </c>
    </row>
    <row r="463" spans="1:12" ht="15" x14ac:dyDescent="0.25">
      <c r="A463" s="42" t="s">
        <v>830</v>
      </c>
      <c r="B463" s="49" t="s">
        <v>285</v>
      </c>
      <c r="C463" s="42" t="s">
        <v>705</v>
      </c>
      <c r="D463" s="75">
        <v>881242432</v>
      </c>
      <c r="E463" s="76">
        <v>9193957018</v>
      </c>
      <c r="F463" s="42" t="s">
        <v>256</v>
      </c>
      <c r="G463" s="84">
        <v>33928</v>
      </c>
      <c r="H463" s="108" t="str">
        <f>CHOOSE(MONTH(G463),"January","February","March","April","May","June","July","August","September","October","November","December")</f>
        <v>November</v>
      </c>
      <c r="I463" s="54">
        <f ca="1">DATEDIF(G463,TODAY(),"Y")</f>
        <v>23</v>
      </c>
      <c r="J463" s="55" t="s">
        <v>262</v>
      </c>
      <c r="K463" s="56">
        <v>68010</v>
      </c>
      <c r="L463" s="57">
        <v>1</v>
      </c>
    </row>
    <row r="464" spans="1:12" ht="15" x14ac:dyDescent="0.25">
      <c r="A464" s="42" t="s">
        <v>684</v>
      </c>
      <c r="B464" s="49" t="s">
        <v>285</v>
      </c>
      <c r="C464" s="42" t="s">
        <v>705</v>
      </c>
      <c r="D464" s="75">
        <v>824046378</v>
      </c>
      <c r="E464" s="76">
        <v>9196335284</v>
      </c>
      <c r="F464" s="42" t="s">
        <v>256</v>
      </c>
      <c r="G464" s="84">
        <v>35379</v>
      </c>
      <c r="H464" s="108" t="str">
        <f>CHOOSE(MONTH(G464),"January","February","March","April","May","June","July","August","September","October","November","December")</f>
        <v>November</v>
      </c>
      <c r="I464" s="54">
        <f ca="1">DATEDIF(G464,TODAY(),"Y")</f>
        <v>19</v>
      </c>
      <c r="J464" s="55" t="s">
        <v>276</v>
      </c>
      <c r="K464" s="56">
        <v>67230</v>
      </c>
      <c r="L464" s="57">
        <v>4</v>
      </c>
    </row>
    <row r="465" spans="1:12" ht="15" x14ac:dyDescent="0.25">
      <c r="A465" s="42" t="s">
        <v>331</v>
      </c>
      <c r="B465" s="49" t="s">
        <v>251</v>
      </c>
      <c r="C465" s="42" t="s">
        <v>705</v>
      </c>
      <c r="D465" s="75">
        <v>551132018</v>
      </c>
      <c r="E465" s="76">
        <v>2525796953</v>
      </c>
      <c r="F465" s="42" t="s">
        <v>256</v>
      </c>
      <c r="G465" s="84">
        <v>40370</v>
      </c>
      <c r="H465" s="108" t="str">
        <f>CHOOSE(MONTH(G465),"January","February","March","April","May","June","July","August","September","October","November","December")</f>
        <v>July</v>
      </c>
      <c r="I465" s="54">
        <f ca="1">DATEDIF(G465,TODAY(),"Y")</f>
        <v>6</v>
      </c>
      <c r="J465" s="55" t="s">
        <v>257</v>
      </c>
      <c r="K465" s="56">
        <v>66840</v>
      </c>
      <c r="L465" s="57">
        <v>4</v>
      </c>
    </row>
    <row r="466" spans="1:12" ht="15" x14ac:dyDescent="0.25">
      <c r="A466" s="42" t="s">
        <v>486</v>
      </c>
      <c r="B466" s="49" t="s">
        <v>251</v>
      </c>
      <c r="C466" s="42" t="s">
        <v>705</v>
      </c>
      <c r="D466" s="75">
        <v>761337848</v>
      </c>
      <c r="E466" s="76">
        <v>9193967339</v>
      </c>
      <c r="F466" s="42" t="s">
        <v>247</v>
      </c>
      <c r="G466" s="84">
        <v>34502</v>
      </c>
      <c r="H466" s="108" t="str">
        <f>CHOOSE(MONTH(G466),"January","February","March","April","May","June","July","August","September","October","November","December")</f>
        <v>June</v>
      </c>
      <c r="I466" s="54">
        <f ca="1">DATEDIF(G466,TODAY(),"Y")</f>
        <v>22</v>
      </c>
      <c r="J466" s="55"/>
      <c r="K466" s="56">
        <v>66710</v>
      </c>
      <c r="L466" s="57">
        <v>2</v>
      </c>
    </row>
    <row r="467" spans="1:12" ht="15" x14ac:dyDescent="0.25">
      <c r="A467" s="42" t="s">
        <v>914</v>
      </c>
      <c r="B467" s="49" t="s">
        <v>245</v>
      </c>
      <c r="C467" s="42" t="s">
        <v>705</v>
      </c>
      <c r="D467" s="75">
        <v>869524136</v>
      </c>
      <c r="E467" s="76">
        <v>9193640748</v>
      </c>
      <c r="F467" s="42" t="s">
        <v>256</v>
      </c>
      <c r="G467" s="84">
        <v>35339</v>
      </c>
      <c r="H467" s="108" t="str">
        <f>CHOOSE(MONTH(G467),"January","February","March","April","May","June","July","August","September","October","November","December")</f>
        <v>October</v>
      </c>
      <c r="I467" s="54">
        <f ca="1">DATEDIF(G467,TODAY(),"Y")</f>
        <v>20</v>
      </c>
      <c r="J467" s="55" t="s">
        <v>283</v>
      </c>
      <c r="K467" s="56">
        <v>43410</v>
      </c>
      <c r="L467" s="57">
        <v>1</v>
      </c>
    </row>
    <row r="468" spans="1:12" ht="15" x14ac:dyDescent="0.25">
      <c r="A468" s="42" t="s">
        <v>846</v>
      </c>
      <c r="B468" s="49" t="s">
        <v>266</v>
      </c>
      <c r="C468" s="42" t="s">
        <v>705</v>
      </c>
      <c r="D468" s="75">
        <v>851400058</v>
      </c>
      <c r="E468" s="76">
        <v>9196012031</v>
      </c>
      <c r="F468" s="42" t="s">
        <v>261</v>
      </c>
      <c r="G468" s="106">
        <v>40393</v>
      </c>
      <c r="H468" s="108" t="str">
        <f>CHOOSE(MONTH(G468),"January","February","March","April","May","June","July","August","September","October","November","December")</f>
        <v>August</v>
      </c>
      <c r="I468" s="54">
        <f ca="1">DATEDIF(G468,TODAY(),"Y")</f>
        <v>6</v>
      </c>
      <c r="J468" s="55" t="s">
        <v>257</v>
      </c>
      <c r="K468" s="56">
        <v>16925</v>
      </c>
      <c r="L468" s="57">
        <v>1</v>
      </c>
    </row>
    <row r="469" spans="1:12" ht="15" x14ac:dyDescent="0.25">
      <c r="A469" s="42" t="s">
        <v>529</v>
      </c>
      <c r="B469" s="49" t="s">
        <v>280</v>
      </c>
      <c r="C469" s="42" t="s">
        <v>705</v>
      </c>
      <c r="D469" s="75">
        <v>213741822</v>
      </c>
      <c r="E469" s="76">
        <v>2521780498</v>
      </c>
      <c r="F469" s="42" t="s">
        <v>247</v>
      </c>
      <c r="G469" s="84">
        <v>35921</v>
      </c>
      <c r="H469" s="108" t="str">
        <f>CHOOSE(MONTH(G469),"January","February","March","April","May","June","July","August","September","October","November","December")</f>
        <v>May</v>
      </c>
      <c r="I469" s="54">
        <f ca="1">DATEDIF(G469,TODAY(),"Y")</f>
        <v>18</v>
      </c>
      <c r="J469" s="55"/>
      <c r="K469" s="56">
        <v>63330</v>
      </c>
      <c r="L469" s="57">
        <v>4</v>
      </c>
    </row>
    <row r="470" spans="1:12" ht="15" x14ac:dyDescent="0.25">
      <c r="A470" s="42" t="s">
        <v>513</v>
      </c>
      <c r="B470" s="49" t="s">
        <v>280</v>
      </c>
      <c r="C470" s="42" t="s">
        <v>705</v>
      </c>
      <c r="D470" s="75">
        <v>577239513</v>
      </c>
      <c r="E470" s="76">
        <v>9193199265</v>
      </c>
      <c r="F470" s="42" t="s">
        <v>256</v>
      </c>
      <c r="G470" s="84">
        <v>35133</v>
      </c>
      <c r="H470" s="108" t="str">
        <f>CHOOSE(MONTH(G470),"January","February","March","April","May","June","July","August","September","October","November","December")</f>
        <v>March</v>
      </c>
      <c r="I470" s="54">
        <f ca="1">DATEDIF(G470,TODAY(),"Y")</f>
        <v>20</v>
      </c>
      <c r="J470" s="55" t="s">
        <v>283</v>
      </c>
      <c r="K470" s="56">
        <v>63080</v>
      </c>
      <c r="L470" s="57">
        <v>5</v>
      </c>
    </row>
    <row r="471" spans="1:12" ht="15" x14ac:dyDescent="0.25">
      <c r="A471" s="42" t="s">
        <v>380</v>
      </c>
      <c r="B471" s="49" t="s">
        <v>285</v>
      </c>
      <c r="C471" s="42" t="s">
        <v>705</v>
      </c>
      <c r="D471" s="75">
        <v>959568761</v>
      </c>
      <c r="E471" s="76">
        <v>9194744493</v>
      </c>
      <c r="F471" s="42" t="s">
        <v>256</v>
      </c>
      <c r="G471" s="84">
        <v>33457</v>
      </c>
      <c r="H471" s="108" t="str">
        <f>CHOOSE(MONTH(G471),"January","February","March","April","May","June","July","August","September","October","November","December")</f>
        <v>August</v>
      </c>
      <c r="I471" s="54">
        <f ca="1">DATEDIF(G471,TODAY(),"Y")</f>
        <v>25</v>
      </c>
      <c r="J471" s="55" t="s">
        <v>267</v>
      </c>
      <c r="K471" s="56">
        <v>61470</v>
      </c>
      <c r="L471" s="57">
        <v>5</v>
      </c>
    </row>
    <row r="472" spans="1:12" ht="15" x14ac:dyDescent="0.25">
      <c r="A472" s="42" t="s">
        <v>706</v>
      </c>
      <c r="B472" s="49" t="s">
        <v>271</v>
      </c>
      <c r="C472" s="42" t="s">
        <v>705</v>
      </c>
      <c r="D472" s="75">
        <v>931977751</v>
      </c>
      <c r="E472" s="76">
        <v>9194471952</v>
      </c>
      <c r="F472" s="42" t="s">
        <v>256</v>
      </c>
      <c r="G472" s="84">
        <v>34901</v>
      </c>
      <c r="H472" s="108" t="str">
        <f>CHOOSE(MONTH(G472),"January","February","March","April","May","June","July","August","September","October","November","December")</f>
        <v>July</v>
      </c>
      <c r="I472" s="54">
        <f ca="1">DATEDIF(G472,TODAY(),"Y")</f>
        <v>21</v>
      </c>
      <c r="J472" s="55" t="s">
        <v>257</v>
      </c>
      <c r="K472" s="56">
        <v>25830</v>
      </c>
      <c r="L472" s="57">
        <v>5</v>
      </c>
    </row>
    <row r="473" spans="1:12" ht="15" x14ac:dyDescent="0.25">
      <c r="A473" s="42" t="s">
        <v>806</v>
      </c>
      <c r="B473" s="49" t="s">
        <v>285</v>
      </c>
      <c r="C473" s="42" t="s">
        <v>705</v>
      </c>
      <c r="D473" s="75">
        <v>489013842</v>
      </c>
      <c r="E473" s="76">
        <v>2521658481</v>
      </c>
      <c r="F473" s="42" t="s">
        <v>261</v>
      </c>
      <c r="G473" s="84">
        <v>36695</v>
      </c>
      <c r="H473" s="108" t="str">
        <f>CHOOSE(MONTH(G473),"January","February","March","April","May","June","July","August","September","October","November","December")</f>
        <v>June</v>
      </c>
      <c r="I473" s="54">
        <f ca="1">DATEDIF(G473,TODAY(),"Y")</f>
        <v>16</v>
      </c>
      <c r="J473" s="55" t="s">
        <v>283</v>
      </c>
      <c r="K473" s="56">
        <v>29005</v>
      </c>
      <c r="L473" s="57">
        <v>1</v>
      </c>
    </row>
    <row r="474" spans="1:12" ht="15" x14ac:dyDescent="0.25">
      <c r="A474" s="42" t="s">
        <v>627</v>
      </c>
      <c r="B474" s="49" t="s">
        <v>285</v>
      </c>
      <c r="C474" s="42" t="s">
        <v>705</v>
      </c>
      <c r="D474" s="75">
        <v>842774592</v>
      </c>
      <c r="E474" s="76">
        <v>2527345539</v>
      </c>
      <c r="F474" s="42" t="s">
        <v>252</v>
      </c>
      <c r="G474" s="84">
        <v>38144</v>
      </c>
      <c r="H474" s="108" t="str">
        <f>CHOOSE(MONTH(G474),"January","February","March","April","May","June","July","August","September","October","November","December")</f>
        <v>June</v>
      </c>
      <c r="I474" s="54">
        <f ca="1">DATEDIF(G474,TODAY(),"Y")</f>
        <v>12</v>
      </c>
      <c r="J474" s="55"/>
      <c r="K474" s="56">
        <v>33512</v>
      </c>
      <c r="L474" s="57">
        <v>4</v>
      </c>
    </row>
    <row r="475" spans="1:12" ht="15" x14ac:dyDescent="0.25">
      <c r="A475" s="42" t="s">
        <v>425</v>
      </c>
      <c r="B475" s="49" t="s">
        <v>271</v>
      </c>
      <c r="C475" s="42" t="s">
        <v>705</v>
      </c>
      <c r="D475" s="75">
        <v>617795992</v>
      </c>
      <c r="E475" s="76">
        <v>2526345909</v>
      </c>
      <c r="F475" s="42" t="s">
        <v>256</v>
      </c>
      <c r="G475" s="84">
        <v>33578</v>
      </c>
      <c r="H475" s="108" t="str">
        <f>CHOOSE(MONTH(G475),"January","February","March","April","May","June","July","August","September","October","November","December")</f>
        <v>December</v>
      </c>
      <c r="I475" s="54">
        <f ca="1">DATEDIF(G475,TODAY(),"Y")</f>
        <v>24</v>
      </c>
      <c r="J475" s="55" t="s">
        <v>257</v>
      </c>
      <c r="K475" s="56">
        <v>43580</v>
      </c>
      <c r="L475" s="57">
        <v>5</v>
      </c>
    </row>
    <row r="476" spans="1:12" ht="15" x14ac:dyDescent="0.25">
      <c r="A476" s="42" t="s">
        <v>475</v>
      </c>
      <c r="B476" s="49" t="s">
        <v>251</v>
      </c>
      <c r="C476" s="42" t="s">
        <v>705</v>
      </c>
      <c r="D476" s="75">
        <v>719165738</v>
      </c>
      <c r="E476" s="76">
        <v>9195750692</v>
      </c>
      <c r="F476" s="42" t="s">
        <v>247</v>
      </c>
      <c r="G476" s="84">
        <v>40468</v>
      </c>
      <c r="H476" s="108" t="str">
        <f>CHOOSE(MONTH(G476),"January","February","March","April","May","June","July","August","September","October","November","December")</f>
        <v>October</v>
      </c>
      <c r="I476" s="54">
        <f ca="1">DATEDIF(G476,TODAY(),"Y")</f>
        <v>6</v>
      </c>
      <c r="J476" s="55"/>
      <c r="K476" s="56">
        <v>39440</v>
      </c>
      <c r="L476" s="57">
        <v>4</v>
      </c>
    </row>
    <row r="477" spans="1:12" ht="15" x14ac:dyDescent="0.25">
      <c r="A477" s="42" t="s">
        <v>973</v>
      </c>
      <c r="B477" s="49" t="s">
        <v>280</v>
      </c>
      <c r="C477" s="42" t="s">
        <v>705</v>
      </c>
      <c r="D477" s="75">
        <v>291803431</v>
      </c>
      <c r="E477" s="76">
        <v>2525866679</v>
      </c>
      <c r="F477" s="42" t="s">
        <v>247</v>
      </c>
      <c r="G477" s="84">
        <v>39783</v>
      </c>
      <c r="H477" s="108" t="str">
        <f>CHOOSE(MONTH(G477),"January","February","March","April","May","June","July","August","September","October","November","December")</f>
        <v>December</v>
      </c>
      <c r="I477" s="54">
        <f ca="1">DATEDIF(G477,TODAY(),"Y")</f>
        <v>7</v>
      </c>
      <c r="J477" s="55"/>
      <c r="K477" s="56">
        <v>54000</v>
      </c>
      <c r="L477" s="57">
        <v>3</v>
      </c>
    </row>
    <row r="478" spans="1:12" ht="15" x14ac:dyDescent="0.25">
      <c r="A478" s="42"/>
      <c r="B478" s="49"/>
      <c r="C478" s="114"/>
      <c r="D478" s="75"/>
      <c r="E478" s="76"/>
      <c r="F478" s="42"/>
      <c r="G478" s="84"/>
      <c r="H478" s="108"/>
      <c r="I478" s="54"/>
      <c r="J478" s="55"/>
      <c r="K478" s="56"/>
      <c r="L478" s="57"/>
    </row>
    <row r="479" spans="1:12" ht="15" x14ac:dyDescent="0.25">
      <c r="A479" s="42" t="s">
        <v>433</v>
      </c>
      <c r="B479" s="49" t="s">
        <v>285</v>
      </c>
      <c r="C479" s="42" t="s">
        <v>750</v>
      </c>
      <c r="D479" s="75">
        <v>292693795</v>
      </c>
      <c r="E479" s="76">
        <v>9195990139</v>
      </c>
      <c r="F479" s="42" t="s">
        <v>256</v>
      </c>
      <c r="G479" s="84">
        <v>33280</v>
      </c>
      <c r="H479" s="108" t="str">
        <f>CHOOSE(MONTH(G479),"January","February","March","April","May","June","July","August","September","October","November","December")</f>
        <v>February</v>
      </c>
      <c r="I479" s="54">
        <f ca="1">DATEDIF(G479,TODAY(),"Y")</f>
        <v>25</v>
      </c>
      <c r="J479" s="55" t="s">
        <v>257</v>
      </c>
      <c r="K479" s="56">
        <v>87950</v>
      </c>
      <c r="L479" s="57">
        <v>4</v>
      </c>
    </row>
    <row r="480" spans="1:12" ht="15" x14ac:dyDescent="0.25">
      <c r="A480" s="42" t="s">
        <v>376</v>
      </c>
      <c r="B480" s="49" t="s">
        <v>245</v>
      </c>
      <c r="C480" s="42" t="s">
        <v>750</v>
      </c>
      <c r="D480" s="75">
        <v>360904659</v>
      </c>
      <c r="E480" s="76">
        <v>2523766803</v>
      </c>
      <c r="F480" s="42" t="s">
        <v>256</v>
      </c>
      <c r="G480" s="84">
        <v>33588</v>
      </c>
      <c r="H480" s="108" t="str">
        <f>CHOOSE(MONTH(G480),"January","February","March","April","May","June","July","August","September","October","November","December")</f>
        <v>December</v>
      </c>
      <c r="I480" s="54">
        <f ca="1">DATEDIF(G480,TODAY(),"Y")</f>
        <v>24</v>
      </c>
      <c r="J480" s="55" t="s">
        <v>283</v>
      </c>
      <c r="K480" s="56">
        <v>44620</v>
      </c>
      <c r="L480" s="57">
        <v>5</v>
      </c>
    </row>
    <row r="481" spans="1:12" ht="15" x14ac:dyDescent="0.25">
      <c r="A481" s="42" t="s">
        <v>416</v>
      </c>
      <c r="B481" s="49" t="s">
        <v>271</v>
      </c>
      <c r="C481" s="42" t="s">
        <v>750</v>
      </c>
      <c r="D481" s="75">
        <v>444159297</v>
      </c>
      <c r="E481" s="76">
        <v>2522456406</v>
      </c>
      <c r="F481" s="42" t="s">
        <v>256</v>
      </c>
      <c r="G481" s="84">
        <v>33536</v>
      </c>
      <c r="H481" s="108" t="str">
        <f>CHOOSE(MONTH(G481),"January","February","March","April","May","June","July","August","September","October","November","December")</f>
        <v>October</v>
      </c>
      <c r="I481" s="54">
        <f ca="1">DATEDIF(G481,TODAY(),"Y")</f>
        <v>25</v>
      </c>
      <c r="J481" s="55" t="s">
        <v>257</v>
      </c>
      <c r="K481" s="56">
        <v>81530</v>
      </c>
      <c r="L481" s="57">
        <v>5</v>
      </c>
    </row>
    <row r="482" spans="1:12" ht="15" x14ac:dyDescent="0.25">
      <c r="A482" s="42" t="s">
        <v>956</v>
      </c>
      <c r="B482" s="49" t="s">
        <v>285</v>
      </c>
      <c r="C482" s="42" t="s">
        <v>750</v>
      </c>
      <c r="D482" s="75">
        <v>852430023</v>
      </c>
      <c r="E482" s="76">
        <v>9195506190</v>
      </c>
      <c r="F482" s="42" t="s">
        <v>261</v>
      </c>
      <c r="G482" s="84">
        <v>33112</v>
      </c>
      <c r="H482" s="108" t="str">
        <f>CHOOSE(MONTH(G482),"January","February","March","April","May","June","July","August","September","October","November","December")</f>
        <v>August</v>
      </c>
      <c r="I482" s="54">
        <f ca="1">DATEDIF(G482,TODAY(),"Y")</f>
        <v>26</v>
      </c>
      <c r="J482" s="55" t="s">
        <v>267</v>
      </c>
      <c r="K482" s="56">
        <v>24815</v>
      </c>
      <c r="L482" s="57">
        <v>1</v>
      </c>
    </row>
    <row r="483" spans="1:12" ht="15" x14ac:dyDescent="0.25">
      <c r="A483" s="42" t="s">
        <v>937</v>
      </c>
      <c r="B483" s="49" t="s">
        <v>271</v>
      </c>
      <c r="C483" s="42" t="s">
        <v>750</v>
      </c>
      <c r="D483" s="75">
        <v>904790184</v>
      </c>
      <c r="E483" s="76">
        <v>9191876990</v>
      </c>
      <c r="F483" s="42" t="s">
        <v>256</v>
      </c>
      <c r="G483" s="84">
        <v>33460</v>
      </c>
      <c r="H483" s="108" t="str">
        <f>CHOOSE(MONTH(G483),"January","February","March","April","May","June","July","August","September","October","November","December")</f>
        <v>August</v>
      </c>
      <c r="I483" s="54">
        <f ca="1">DATEDIF(G483,TODAY(),"Y")</f>
        <v>25</v>
      </c>
      <c r="J483" s="55" t="s">
        <v>283</v>
      </c>
      <c r="K483" s="56">
        <v>77720</v>
      </c>
      <c r="L483" s="57">
        <v>3</v>
      </c>
    </row>
    <row r="484" spans="1:12" ht="15" x14ac:dyDescent="0.25">
      <c r="A484" s="42" t="s">
        <v>432</v>
      </c>
      <c r="B484" s="49" t="s">
        <v>245</v>
      </c>
      <c r="C484" s="42" t="s">
        <v>750</v>
      </c>
      <c r="D484" s="75">
        <v>671360508</v>
      </c>
      <c r="E484" s="76">
        <v>2528385730</v>
      </c>
      <c r="F484" s="42" t="s">
        <v>261</v>
      </c>
      <c r="G484" s="111">
        <v>33160</v>
      </c>
      <c r="H484" s="108" t="str">
        <f>CHOOSE(MONTH(G484),"January","February","March","April","May","June","July","August","September","October","November","December")</f>
        <v>October</v>
      </c>
      <c r="I484" s="54">
        <f ca="1">DATEDIF(G484,TODAY(),"Y")</f>
        <v>26</v>
      </c>
      <c r="J484" s="55" t="s">
        <v>262</v>
      </c>
      <c r="K484" s="56">
        <v>39620</v>
      </c>
      <c r="L484" s="57">
        <v>5</v>
      </c>
    </row>
    <row r="485" spans="1:12" ht="15" x14ac:dyDescent="0.25">
      <c r="A485" s="42" t="s">
        <v>733</v>
      </c>
      <c r="B485" s="49" t="s">
        <v>285</v>
      </c>
      <c r="C485" s="42" t="s">
        <v>750</v>
      </c>
      <c r="D485" s="75">
        <v>219740602</v>
      </c>
      <c r="E485" s="76">
        <v>9197429525</v>
      </c>
      <c r="F485" s="42" t="s">
        <v>261</v>
      </c>
      <c r="G485" s="84">
        <v>33349</v>
      </c>
      <c r="H485" s="108" t="str">
        <f>CHOOSE(MONTH(G485),"January","February","March","April","May","June","July","August","September","October","November","December")</f>
        <v>April</v>
      </c>
      <c r="I485" s="54">
        <f ca="1">DATEDIF(G485,TODAY(),"Y")</f>
        <v>25</v>
      </c>
      <c r="J485" s="55" t="s">
        <v>276</v>
      </c>
      <c r="K485" s="56">
        <v>16015</v>
      </c>
      <c r="L485" s="57">
        <v>3</v>
      </c>
    </row>
    <row r="486" spans="1:12" ht="15" x14ac:dyDescent="0.25">
      <c r="A486" s="42" t="s">
        <v>765</v>
      </c>
      <c r="B486" s="49" t="s">
        <v>285</v>
      </c>
      <c r="C486" s="42" t="s">
        <v>750</v>
      </c>
      <c r="D486" s="75">
        <v>198564686</v>
      </c>
      <c r="E486" s="81">
        <v>2523355100</v>
      </c>
      <c r="F486" s="42" t="s">
        <v>256</v>
      </c>
      <c r="G486" s="84">
        <v>33246</v>
      </c>
      <c r="H486" s="108" t="str">
        <f>CHOOSE(MONTH(G486),"January","February","March","April","May","June","July","August","September","October","November","December")</f>
        <v>January</v>
      </c>
      <c r="I486" s="54">
        <f ca="1">DATEDIF(G486,TODAY(),"Y")</f>
        <v>25</v>
      </c>
      <c r="J486" s="55" t="s">
        <v>257</v>
      </c>
      <c r="K486" s="56">
        <v>71730</v>
      </c>
      <c r="L486" s="57">
        <v>1</v>
      </c>
    </row>
    <row r="487" spans="1:12" ht="15" x14ac:dyDescent="0.25">
      <c r="A487" s="42" t="s">
        <v>317</v>
      </c>
      <c r="B487" s="49" t="s">
        <v>271</v>
      </c>
      <c r="C487" s="42" t="s">
        <v>750</v>
      </c>
      <c r="D487" s="75">
        <v>763518183</v>
      </c>
      <c r="E487" s="76">
        <v>2522581491</v>
      </c>
      <c r="F487" s="42" t="s">
        <v>256</v>
      </c>
      <c r="G487" s="84">
        <v>33440</v>
      </c>
      <c r="H487" s="108" t="str">
        <f>CHOOSE(MONTH(G487),"January","February","March","April","May","June","July","August","September","October","November","December")</f>
        <v>July</v>
      </c>
      <c r="I487" s="54">
        <f ca="1">DATEDIF(G487,TODAY(),"Y")</f>
        <v>25</v>
      </c>
      <c r="J487" s="55" t="s">
        <v>257</v>
      </c>
      <c r="K487" s="56">
        <v>69400</v>
      </c>
      <c r="L487" s="57">
        <v>5</v>
      </c>
    </row>
    <row r="488" spans="1:12" ht="15" x14ac:dyDescent="0.25">
      <c r="A488" s="42" t="s">
        <v>855</v>
      </c>
      <c r="B488" s="49" t="s">
        <v>266</v>
      </c>
      <c r="C488" s="42" t="s">
        <v>750</v>
      </c>
      <c r="D488" s="75">
        <v>834061135</v>
      </c>
      <c r="E488" s="76">
        <v>9198472270</v>
      </c>
      <c r="F488" s="42" t="s">
        <v>256</v>
      </c>
      <c r="G488" s="84">
        <v>33513</v>
      </c>
      <c r="H488" s="108" t="str">
        <f>CHOOSE(MONTH(G488),"January","February","March","April","May","June","July","August","September","October","November","December")</f>
        <v>October</v>
      </c>
      <c r="I488" s="54">
        <f ca="1">DATEDIF(G488,TODAY(),"Y")</f>
        <v>25</v>
      </c>
      <c r="J488" s="55" t="s">
        <v>267</v>
      </c>
      <c r="K488" s="56">
        <v>44560</v>
      </c>
      <c r="L488" s="57">
        <v>2</v>
      </c>
    </row>
    <row r="489" spans="1:12" ht="15" x14ac:dyDescent="0.25">
      <c r="A489" s="42" t="s">
        <v>580</v>
      </c>
      <c r="B489" s="49" t="s">
        <v>271</v>
      </c>
      <c r="C489" s="42" t="s">
        <v>750</v>
      </c>
      <c r="D489" s="75">
        <v>967826310</v>
      </c>
      <c r="E489" s="76">
        <v>9196100410</v>
      </c>
      <c r="F489" s="42" t="s">
        <v>256</v>
      </c>
      <c r="G489" s="84">
        <v>33320</v>
      </c>
      <c r="H489" s="108" t="str">
        <f>CHOOSE(MONTH(G489),"January","February","March","April","May","June","July","August","September","October","November","December")</f>
        <v>March</v>
      </c>
      <c r="I489" s="54">
        <f ca="1">DATEDIF(G489,TODAY(),"Y")</f>
        <v>25</v>
      </c>
      <c r="J489" s="55" t="s">
        <v>276</v>
      </c>
      <c r="K489" s="56">
        <v>35320</v>
      </c>
      <c r="L489" s="57">
        <v>3</v>
      </c>
    </row>
    <row r="490" spans="1:12" ht="15" x14ac:dyDescent="0.25">
      <c r="A490" s="42" t="s">
        <v>690</v>
      </c>
      <c r="B490" s="49" t="s">
        <v>285</v>
      </c>
      <c r="C490" s="42" t="s">
        <v>750</v>
      </c>
      <c r="D490" s="75">
        <v>174483231</v>
      </c>
      <c r="E490" s="76">
        <v>9196733291</v>
      </c>
      <c r="F490" s="42" t="s">
        <v>256</v>
      </c>
      <c r="G490" s="84">
        <v>33186</v>
      </c>
      <c r="H490" s="108" t="str">
        <f>CHOOSE(MONTH(G490),"January","February","March","April","May","June","July","August","September","October","November","December")</f>
        <v>November</v>
      </c>
      <c r="I490" s="54">
        <f ca="1">DATEDIF(G490,TODAY(),"Y")</f>
        <v>26</v>
      </c>
      <c r="J490" s="55" t="s">
        <v>257</v>
      </c>
      <c r="K490" s="56">
        <v>40940</v>
      </c>
      <c r="L490" s="57">
        <v>3</v>
      </c>
    </row>
    <row r="491" spans="1:12" ht="15" x14ac:dyDescent="0.25">
      <c r="A491" s="42" t="s">
        <v>415</v>
      </c>
      <c r="B491" s="49" t="s">
        <v>285</v>
      </c>
      <c r="C491" s="42" t="s">
        <v>750</v>
      </c>
      <c r="D491" s="75">
        <v>285295419</v>
      </c>
      <c r="E491" s="76">
        <v>9197904981</v>
      </c>
      <c r="F491" s="42" t="s">
        <v>252</v>
      </c>
      <c r="G491" s="84">
        <v>33158</v>
      </c>
      <c r="H491" s="108" t="str">
        <f>CHOOSE(MONTH(G491),"January","February","March","April","May","June","July","August","September","October","November","December")</f>
        <v>October</v>
      </c>
      <c r="I491" s="54">
        <f ca="1">DATEDIF(G491,TODAY(),"Y")</f>
        <v>26</v>
      </c>
      <c r="J491" s="55"/>
      <c r="K491" s="56">
        <v>33232</v>
      </c>
      <c r="L491" s="57">
        <v>4</v>
      </c>
    </row>
    <row r="492" spans="1:12" ht="15" x14ac:dyDescent="0.25">
      <c r="A492" s="42" t="s">
        <v>667</v>
      </c>
      <c r="B492" s="49" t="s">
        <v>266</v>
      </c>
      <c r="C492" s="42" t="s">
        <v>750</v>
      </c>
      <c r="D492" s="75">
        <v>710460589</v>
      </c>
      <c r="E492" s="76">
        <v>2526104400</v>
      </c>
      <c r="F492" s="42" t="s">
        <v>256</v>
      </c>
      <c r="G492" s="84">
        <v>33179</v>
      </c>
      <c r="H492" s="108" t="str">
        <f>CHOOSE(MONTH(G492),"January","February","March","April","May","June","July","August","September","October","November","December")</f>
        <v>November</v>
      </c>
      <c r="I492" s="54">
        <f ca="1">DATEDIF(G492,TODAY(),"Y")</f>
        <v>26</v>
      </c>
      <c r="J492" s="55" t="s">
        <v>283</v>
      </c>
      <c r="K492" s="56">
        <v>43110</v>
      </c>
      <c r="L492" s="57">
        <v>2</v>
      </c>
    </row>
    <row r="493" spans="1:12" ht="15" x14ac:dyDescent="0.25">
      <c r="A493" s="42" t="s">
        <v>631</v>
      </c>
      <c r="B493" s="49" t="s">
        <v>251</v>
      </c>
      <c r="C493" s="42" t="s">
        <v>750</v>
      </c>
      <c r="D493" s="75">
        <v>264960848</v>
      </c>
      <c r="E493" s="76">
        <v>9195012757</v>
      </c>
      <c r="F493" s="42" t="s">
        <v>247</v>
      </c>
      <c r="G493" s="84">
        <v>33286</v>
      </c>
      <c r="H493" s="108" t="str">
        <f>CHOOSE(MONTH(G493),"January","February","March","April","May","June","July","August","September","October","November","December")</f>
        <v>February</v>
      </c>
      <c r="I493" s="54">
        <f ca="1">DATEDIF(G493,TODAY(),"Y")</f>
        <v>25</v>
      </c>
      <c r="J493" s="55"/>
      <c r="K493" s="56">
        <v>49070</v>
      </c>
      <c r="L493" s="57">
        <v>3</v>
      </c>
    </row>
    <row r="494" spans="1:12" ht="15" x14ac:dyDescent="0.25">
      <c r="A494" s="42" t="s">
        <v>957</v>
      </c>
      <c r="B494" s="49" t="s">
        <v>271</v>
      </c>
      <c r="C494" s="42" t="s">
        <v>750</v>
      </c>
      <c r="D494" s="75">
        <v>134557291</v>
      </c>
      <c r="E494" s="76">
        <v>2525536623</v>
      </c>
      <c r="F494" s="42" t="s">
        <v>256</v>
      </c>
      <c r="G494" s="84">
        <v>33113</v>
      </c>
      <c r="H494" s="108" t="str">
        <f>CHOOSE(MONTH(G494),"January","February","March","April","May","June","July","August","September","October","November","December")</f>
        <v>August</v>
      </c>
      <c r="I494" s="54">
        <f ca="1">DATEDIF(G494,TODAY(),"Y")</f>
        <v>26</v>
      </c>
      <c r="J494" s="55" t="s">
        <v>257</v>
      </c>
      <c r="K494" s="56">
        <v>32600</v>
      </c>
      <c r="L494" s="57">
        <v>5</v>
      </c>
    </row>
    <row r="495" spans="1:12" ht="15" x14ac:dyDescent="0.25">
      <c r="A495" s="42"/>
      <c r="B495" s="49"/>
      <c r="C495" s="114"/>
      <c r="D495" s="75"/>
      <c r="E495" s="76"/>
      <c r="F495" s="42"/>
      <c r="G495" s="84"/>
      <c r="H495" s="108"/>
      <c r="I495" s="54"/>
      <c r="J495" s="55"/>
      <c r="K495" s="56"/>
      <c r="L495" s="57"/>
    </row>
    <row r="496" spans="1:12" ht="15" x14ac:dyDescent="0.25">
      <c r="A496" s="42" t="s">
        <v>917</v>
      </c>
      <c r="B496" s="49" t="s">
        <v>245</v>
      </c>
      <c r="C496" s="42" t="s">
        <v>767</v>
      </c>
      <c r="D496" s="75">
        <v>570756015</v>
      </c>
      <c r="E496" s="76">
        <v>2522238535</v>
      </c>
      <c r="F496" s="42" t="s">
        <v>261</v>
      </c>
      <c r="G496" s="106">
        <v>40421</v>
      </c>
      <c r="H496" s="108" t="str">
        <f>CHOOSE(MONTH(G496),"January","February","March","April","May","June","July","August","September","October","November","December")</f>
        <v>August</v>
      </c>
      <c r="I496" s="54">
        <f ca="1">DATEDIF(G496,TODAY(),"Y")</f>
        <v>6</v>
      </c>
      <c r="J496" s="55" t="s">
        <v>262</v>
      </c>
      <c r="K496" s="56">
        <v>49355</v>
      </c>
      <c r="L496" s="57">
        <v>5</v>
      </c>
    </row>
    <row r="497" spans="1:12" ht="15" x14ac:dyDescent="0.25">
      <c r="A497" s="42" t="s">
        <v>445</v>
      </c>
      <c r="B497" s="49" t="s">
        <v>285</v>
      </c>
      <c r="C497" s="42" t="s">
        <v>767</v>
      </c>
      <c r="D497" s="75">
        <v>938723321</v>
      </c>
      <c r="E497" s="76">
        <v>9196456972</v>
      </c>
      <c r="F497" s="42" t="s">
        <v>247</v>
      </c>
      <c r="G497" s="84">
        <v>39343</v>
      </c>
      <c r="H497" s="108" t="str">
        <f>CHOOSE(MONTH(G497),"January","February","March","April","May","June","July","August","September","October","November","December")</f>
        <v>September</v>
      </c>
      <c r="I497" s="54">
        <f ca="1">DATEDIF(G497,TODAY(),"Y")</f>
        <v>9</v>
      </c>
      <c r="J497" s="55"/>
      <c r="K497" s="56">
        <v>89640</v>
      </c>
      <c r="L497" s="57">
        <v>4</v>
      </c>
    </row>
    <row r="498" spans="1:12" ht="15" x14ac:dyDescent="0.25">
      <c r="A498" s="42" t="s">
        <v>424</v>
      </c>
      <c r="B498" s="49" t="s">
        <v>280</v>
      </c>
      <c r="C498" s="42" t="s">
        <v>767</v>
      </c>
      <c r="D498" s="75">
        <v>422463024</v>
      </c>
      <c r="E498" s="76">
        <v>9193876146</v>
      </c>
      <c r="F498" s="42" t="s">
        <v>256</v>
      </c>
      <c r="G498" s="84">
        <v>34693</v>
      </c>
      <c r="H498" s="108" t="str">
        <f>CHOOSE(MONTH(G498),"January","February","March","April","May","June","July","August","September","October","November","December")</f>
        <v>December</v>
      </c>
      <c r="I498" s="54">
        <f ca="1">DATEDIF(G498,TODAY(),"Y")</f>
        <v>21</v>
      </c>
      <c r="J498" s="55" t="s">
        <v>262</v>
      </c>
      <c r="K498" s="56">
        <v>88820</v>
      </c>
      <c r="L498" s="57">
        <v>2</v>
      </c>
    </row>
    <row r="499" spans="1:12" ht="15" x14ac:dyDescent="0.25">
      <c r="A499" s="42" t="s">
        <v>984</v>
      </c>
      <c r="B499" s="49" t="s">
        <v>271</v>
      </c>
      <c r="C499" s="42" t="s">
        <v>767</v>
      </c>
      <c r="D499" s="75">
        <v>737152868</v>
      </c>
      <c r="E499" s="76">
        <v>9191124357</v>
      </c>
      <c r="F499" s="42" t="s">
        <v>256</v>
      </c>
      <c r="G499" s="84">
        <v>36673</v>
      </c>
      <c r="H499" s="108" t="str">
        <f>CHOOSE(MONTH(G499),"January","February","March","April","May","June","July","August","September","October","November","December")</f>
        <v>May</v>
      </c>
      <c r="I499" s="54">
        <f ca="1">DATEDIF(G499,TODAY(),"Y")</f>
        <v>16</v>
      </c>
      <c r="J499" s="55" t="s">
        <v>276</v>
      </c>
      <c r="K499" s="56">
        <v>48330</v>
      </c>
      <c r="L499" s="57">
        <v>1</v>
      </c>
    </row>
    <row r="500" spans="1:12" ht="15" x14ac:dyDescent="0.25">
      <c r="A500" s="42" t="s">
        <v>393</v>
      </c>
      <c r="B500" s="49" t="s">
        <v>245</v>
      </c>
      <c r="C500" s="42" t="s">
        <v>767</v>
      </c>
      <c r="D500" s="75">
        <v>217968415</v>
      </c>
      <c r="E500" s="76">
        <v>2522814530</v>
      </c>
      <c r="F500" s="42" t="s">
        <v>256</v>
      </c>
      <c r="G500" s="84">
        <v>35821</v>
      </c>
      <c r="H500" s="108" t="str">
        <f>CHOOSE(MONTH(G500),"January","February","March","April","May","June","July","August","September","October","November","December")</f>
        <v>January</v>
      </c>
      <c r="I500" s="54">
        <f ca="1">DATEDIF(G500,TODAY(),"Y")</f>
        <v>18</v>
      </c>
      <c r="J500" s="55" t="s">
        <v>267</v>
      </c>
      <c r="K500" s="56">
        <v>22870</v>
      </c>
      <c r="L500" s="57">
        <v>3</v>
      </c>
    </row>
    <row r="501" spans="1:12" ht="15" x14ac:dyDescent="0.25">
      <c r="A501" s="42" t="s">
        <v>364</v>
      </c>
      <c r="B501" s="49" t="s">
        <v>271</v>
      </c>
      <c r="C501" s="42" t="s">
        <v>767</v>
      </c>
      <c r="D501" s="75">
        <v>505680981</v>
      </c>
      <c r="E501" s="76">
        <v>2527557761</v>
      </c>
      <c r="F501" s="42" t="s">
        <v>256</v>
      </c>
      <c r="G501" s="84">
        <v>37138</v>
      </c>
      <c r="H501" s="108" t="str">
        <f>CHOOSE(MONTH(G501),"January","February","March","April","May","June","July","August","September","October","November","December")</f>
        <v>September</v>
      </c>
      <c r="I501" s="54">
        <f ca="1">DATEDIF(G501,TODAY(),"Y")</f>
        <v>15</v>
      </c>
      <c r="J501" s="55" t="s">
        <v>257</v>
      </c>
      <c r="K501" s="56">
        <v>29130</v>
      </c>
      <c r="L501" s="57">
        <v>1</v>
      </c>
    </row>
    <row r="502" spans="1:12" ht="15" x14ac:dyDescent="0.25">
      <c r="A502" s="42" t="s">
        <v>352</v>
      </c>
      <c r="B502" s="49" t="s">
        <v>271</v>
      </c>
      <c r="C502" s="42" t="s">
        <v>767</v>
      </c>
      <c r="D502" s="75">
        <v>728567428</v>
      </c>
      <c r="E502" s="76">
        <v>2521957923</v>
      </c>
      <c r="F502" s="42" t="s">
        <v>256</v>
      </c>
      <c r="G502" s="84">
        <v>40624</v>
      </c>
      <c r="H502" s="108" t="str">
        <f>CHOOSE(MONTH(G502),"January","February","March","April","May","June","July","August","September","October","November","December")</f>
        <v>March</v>
      </c>
      <c r="I502" s="54">
        <f ca="1">DATEDIF(G502,TODAY(),"Y")</f>
        <v>5</v>
      </c>
      <c r="J502" s="55" t="s">
        <v>276</v>
      </c>
      <c r="K502" s="56">
        <v>86500</v>
      </c>
      <c r="L502" s="57">
        <v>1</v>
      </c>
    </row>
    <row r="503" spans="1:12" ht="15" x14ac:dyDescent="0.25">
      <c r="A503" s="42" t="s">
        <v>653</v>
      </c>
      <c r="B503" s="49" t="s">
        <v>271</v>
      </c>
      <c r="C503" s="42" t="s">
        <v>767</v>
      </c>
      <c r="D503" s="75">
        <v>978154935</v>
      </c>
      <c r="E503" s="76">
        <v>2521384592</v>
      </c>
      <c r="F503" s="42" t="s">
        <v>256</v>
      </c>
      <c r="G503" s="84">
        <v>36195</v>
      </c>
      <c r="H503" s="108" t="str">
        <f>CHOOSE(MONTH(G503),"January","February","March","April","May","June","July","August","September","October","November","December")</f>
        <v>February</v>
      </c>
      <c r="I503" s="54">
        <f ca="1">DATEDIF(G503,TODAY(),"Y")</f>
        <v>17</v>
      </c>
      <c r="J503" s="55" t="s">
        <v>267</v>
      </c>
      <c r="K503" s="56">
        <v>46360</v>
      </c>
      <c r="L503" s="57">
        <v>5</v>
      </c>
    </row>
    <row r="504" spans="1:12" ht="15" x14ac:dyDescent="0.25">
      <c r="A504" s="42" t="s">
        <v>774</v>
      </c>
      <c r="B504" s="49" t="s">
        <v>285</v>
      </c>
      <c r="C504" s="42" t="s">
        <v>767</v>
      </c>
      <c r="D504" s="75">
        <v>933883118</v>
      </c>
      <c r="E504" s="76">
        <v>2523294956</v>
      </c>
      <c r="F504" s="42" t="s">
        <v>247</v>
      </c>
      <c r="G504" s="84">
        <v>34658</v>
      </c>
      <c r="H504" s="108" t="str">
        <f>CHOOSE(MONTH(G504),"January","February","March","April","May","June","July","August","September","October","November","December")</f>
        <v>November</v>
      </c>
      <c r="I504" s="54">
        <f ca="1">DATEDIF(G504,TODAY(),"Y")</f>
        <v>21</v>
      </c>
      <c r="J504" s="55"/>
      <c r="K504" s="56">
        <v>85980</v>
      </c>
      <c r="L504" s="57">
        <v>2</v>
      </c>
    </row>
    <row r="505" spans="1:12" ht="15" x14ac:dyDescent="0.25">
      <c r="A505" s="42" t="s">
        <v>827</v>
      </c>
      <c r="B505" s="49" t="s">
        <v>285</v>
      </c>
      <c r="C505" s="42" t="s">
        <v>767</v>
      </c>
      <c r="D505" s="75">
        <v>161439267</v>
      </c>
      <c r="E505" s="76">
        <v>9197600603</v>
      </c>
      <c r="F505" s="42" t="s">
        <v>256</v>
      </c>
      <c r="G505" s="84">
        <v>39362</v>
      </c>
      <c r="H505" s="108" t="str">
        <f>CHOOSE(MONTH(G505),"January","February","March","April","May","June","July","August","September","October","November","December")</f>
        <v>October</v>
      </c>
      <c r="I505" s="54">
        <f ca="1">DATEDIF(G505,TODAY(),"Y")</f>
        <v>9</v>
      </c>
      <c r="J505" s="55" t="s">
        <v>262</v>
      </c>
      <c r="K505" s="56">
        <v>42020</v>
      </c>
      <c r="L505" s="57">
        <v>5</v>
      </c>
    </row>
    <row r="506" spans="1:12" ht="15" x14ac:dyDescent="0.25">
      <c r="A506" s="42" t="s">
        <v>638</v>
      </c>
      <c r="B506" s="49" t="s">
        <v>285</v>
      </c>
      <c r="C506" s="42" t="s">
        <v>767</v>
      </c>
      <c r="D506" s="75">
        <v>552528553</v>
      </c>
      <c r="E506" s="76">
        <v>9194310812</v>
      </c>
      <c r="F506" s="42" t="s">
        <v>252</v>
      </c>
      <c r="G506" s="84">
        <v>36340</v>
      </c>
      <c r="H506" s="108" t="str">
        <f>CHOOSE(MONTH(G506),"January","February","March","April","May","June","July","August","September","October","November","December")</f>
        <v>June</v>
      </c>
      <c r="I506" s="54">
        <f ca="1">DATEDIF(G506,TODAY(),"Y")</f>
        <v>17</v>
      </c>
      <c r="J506" s="55"/>
      <c r="K506" s="56">
        <v>37016</v>
      </c>
      <c r="L506" s="57">
        <v>4</v>
      </c>
    </row>
    <row r="507" spans="1:12" ht="15" x14ac:dyDescent="0.25">
      <c r="A507" s="42" t="s">
        <v>708</v>
      </c>
      <c r="B507" s="49" t="s">
        <v>245</v>
      </c>
      <c r="C507" s="42" t="s">
        <v>767</v>
      </c>
      <c r="D507" s="75">
        <v>484442635</v>
      </c>
      <c r="E507" s="76">
        <v>2527194901</v>
      </c>
      <c r="F507" s="42" t="s">
        <v>247</v>
      </c>
      <c r="G507" s="84">
        <v>33167</v>
      </c>
      <c r="H507" s="108" t="str">
        <f>CHOOSE(MONTH(G507),"January","February","March","April","May","June","July","August","September","October","November","December")</f>
        <v>October</v>
      </c>
      <c r="I507" s="54">
        <f ca="1">DATEDIF(G507,TODAY(),"Y")</f>
        <v>26</v>
      </c>
      <c r="J507" s="55"/>
      <c r="K507" s="56">
        <v>23020</v>
      </c>
      <c r="L507" s="57">
        <v>4</v>
      </c>
    </row>
    <row r="508" spans="1:12" ht="15" x14ac:dyDescent="0.25">
      <c r="A508" s="42" t="s">
        <v>776</v>
      </c>
      <c r="B508" s="49" t="s">
        <v>251</v>
      </c>
      <c r="C508" s="42" t="s">
        <v>767</v>
      </c>
      <c r="D508" s="75">
        <v>265323292</v>
      </c>
      <c r="E508" s="76">
        <v>2522939413</v>
      </c>
      <c r="F508" s="42" t="s">
        <v>256</v>
      </c>
      <c r="G508" s="84">
        <v>36136</v>
      </c>
      <c r="H508" s="108" t="str">
        <f>CHOOSE(MONTH(G508),"January","February","March","April","May","June","July","August","September","October","November","December")</f>
        <v>December</v>
      </c>
      <c r="I508" s="54">
        <f ca="1">DATEDIF(G508,TODAY(),"Y")</f>
        <v>17</v>
      </c>
      <c r="J508" s="55" t="s">
        <v>283</v>
      </c>
      <c r="K508" s="56">
        <v>45000</v>
      </c>
      <c r="L508" s="57">
        <v>4</v>
      </c>
    </row>
    <row r="509" spans="1:12" ht="15" x14ac:dyDescent="0.25">
      <c r="A509" s="42" t="s">
        <v>726</v>
      </c>
      <c r="B509" s="49" t="s">
        <v>271</v>
      </c>
      <c r="C509" s="42" t="s">
        <v>767</v>
      </c>
      <c r="D509" s="75">
        <v>558903229</v>
      </c>
      <c r="E509" s="76">
        <v>9195699651</v>
      </c>
      <c r="F509" s="42" t="s">
        <v>256</v>
      </c>
      <c r="G509" s="84">
        <v>34061</v>
      </c>
      <c r="H509" s="108" t="str">
        <f>CHOOSE(MONTH(G509),"January","February","March","April","May","June","July","August","September","October","November","December")</f>
        <v>April</v>
      </c>
      <c r="I509" s="54">
        <f ca="1">DATEDIF(G509,TODAY(),"Y")</f>
        <v>23</v>
      </c>
      <c r="J509" s="55" t="s">
        <v>257</v>
      </c>
      <c r="K509" s="56">
        <v>23320</v>
      </c>
      <c r="L509" s="57">
        <v>4</v>
      </c>
    </row>
    <row r="510" spans="1:12" ht="15" x14ac:dyDescent="0.25">
      <c r="A510" s="42" t="s">
        <v>985</v>
      </c>
      <c r="B510" s="49" t="s">
        <v>245</v>
      </c>
      <c r="C510" s="42" t="s">
        <v>767</v>
      </c>
      <c r="D510" s="75">
        <v>433314045</v>
      </c>
      <c r="E510" s="76">
        <v>2522543210</v>
      </c>
      <c r="F510" s="42" t="s">
        <v>247</v>
      </c>
      <c r="G510" s="84">
        <v>33638</v>
      </c>
      <c r="H510" s="108" t="str">
        <f>CHOOSE(MONTH(G510),"January","February","March","April","May","June","July","August","September","October","November","December")</f>
        <v>February</v>
      </c>
      <c r="I510" s="54">
        <f ca="1">DATEDIF(G510,TODAY(),"Y")</f>
        <v>24</v>
      </c>
      <c r="J510" s="55"/>
      <c r="K510" s="56">
        <v>47590</v>
      </c>
      <c r="L510" s="57">
        <v>3</v>
      </c>
    </row>
    <row r="511" spans="1:12" ht="15" x14ac:dyDescent="0.25">
      <c r="A511" s="42" t="s">
        <v>948</v>
      </c>
      <c r="B511" s="49" t="s">
        <v>271</v>
      </c>
      <c r="C511" s="42" t="s">
        <v>767</v>
      </c>
      <c r="D511" s="75">
        <v>880747384</v>
      </c>
      <c r="E511" s="76">
        <v>9195220001</v>
      </c>
      <c r="F511" s="42" t="s">
        <v>256</v>
      </c>
      <c r="G511" s="84">
        <v>33526</v>
      </c>
      <c r="H511" s="108" t="str">
        <f>CHOOSE(MONTH(G511),"January","February","March","April","May","June","July","August","September","October","November","December")</f>
        <v>October</v>
      </c>
      <c r="I511" s="54">
        <f ca="1">DATEDIF(G511,TODAY(),"Y")</f>
        <v>25</v>
      </c>
      <c r="J511" s="55" t="s">
        <v>267</v>
      </c>
      <c r="K511" s="56">
        <v>79400</v>
      </c>
      <c r="L511" s="57">
        <v>4</v>
      </c>
    </row>
    <row r="512" spans="1:12" ht="15" x14ac:dyDescent="0.25">
      <c r="A512" s="42" t="s">
        <v>557</v>
      </c>
      <c r="B512" s="49" t="s">
        <v>271</v>
      </c>
      <c r="C512" s="42" t="s">
        <v>767</v>
      </c>
      <c r="D512" s="75">
        <v>462650472</v>
      </c>
      <c r="E512" s="76">
        <v>2521276517</v>
      </c>
      <c r="F512" s="42" t="s">
        <v>247</v>
      </c>
      <c r="G512" s="84">
        <v>33402</v>
      </c>
      <c r="H512" s="108" t="str">
        <f>CHOOSE(MONTH(G512),"January","February","March","April","May","June","July","August","September","October","November","December")</f>
        <v>June</v>
      </c>
      <c r="I512" s="54">
        <f ca="1">DATEDIF(G512,TODAY(),"Y")</f>
        <v>25</v>
      </c>
      <c r="J512" s="55"/>
      <c r="K512" s="56">
        <v>79380</v>
      </c>
      <c r="L512" s="57">
        <v>1</v>
      </c>
    </row>
    <row r="513" spans="1:12" ht="15" x14ac:dyDescent="0.25">
      <c r="A513" s="42" t="s">
        <v>596</v>
      </c>
      <c r="B513" s="49" t="s">
        <v>251</v>
      </c>
      <c r="C513" s="42" t="s">
        <v>767</v>
      </c>
      <c r="D513" s="75">
        <v>698472533</v>
      </c>
      <c r="E513" s="76">
        <v>9192917217</v>
      </c>
      <c r="F513" s="42" t="s">
        <v>247</v>
      </c>
      <c r="G513" s="84">
        <v>35699</v>
      </c>
      <c r="H513" s="108" t="str">
        <f>CHOOSE(MONTH(G513),"January","February","March","April","May","June","July","August","September","October","November","December")</f>
        <v>September</v>
      </c>
      <c r="I513" s="54">
        <f ca="1">DATEDIF(G513,TODAY(),"Y")</f>
        <v>19</v>
      </c>
      <c r="J513" s="55"/>
      <c r="K513" s="56">
        <v>36230</v>
      </c>
      <c r="L513" s="57">
        <v>2</v>
      </c>
    </row>
    <row r="514" spans="1:12" ht="15" x14ac:dyDescent="0.25">
      <c r="A514" s="42" t="s">
        <v>609</v>
      </c>
      <c r="B514" s="49" t="s">
        <v>245</v>
      </c>
      <c r="C514" s="42" t="s">
        <v>767</v>
      </c>
      <c r="D514" s="75">
        <v>452255054</v>
      </c>
      <c r="E514" s="76">
        <v>9196114005</v>
      </c>
      <c r="F514" s="42" t="s">
        <v>247</v>
      </c>
      <c r="G514" s="84">
        <v>33578</v>
      </c>
      <c r="H514" s="108" t="str">
        <f>CHOOSE(MONTH(G514),"January","February","March","April","May","June","July","August","September","October","November","December")</f>
        <v>December</v>
      </c>
      <c r="I514" s="54">
        <f ca="1">DATEDIF(G514,TODAY(),"Y")</f>
        <v>24</v>
      </c>
      <c r="J514" s="55"/>
      <c r="K514" s="56">
        <v>50840</v>
      </c>
      <c r="L514" s="57">
        <v>4</v>
      </c>
    </row>
    <row r="515" spans="1:12" ht="15" x14ac:dyDescent="0.25">
      <c r="A515" s="42" t="s">
        <v>449</v>
      </c>
      <c r="B515" s="49" t="s">
        <v>271</v>
      </c>
      <c r="C515" s="42" t="s">
        <v>767</v>
      </c>
      <c r="D515" s="75">
        <v>924942231</v>
      </c>
      <c r="E515" s="76">
        <v>9193279828</v>
      </c>
      <c r="F515" s="42" t="s">
        <v>261</v>
      </c>
      <c r="G515" s="84">
        <v>40166</v>
      </c>
      <c r="H515" s="108" t="str">
        <f>CHOOSE(MONTH(G515),"January","February","March","April","May","June","July","August","September","October","November","December")</f>
        <v>December</v>
      </c>
      <c r="I515" s="54">
        <f ca="1">DATEDIF(G515,TODAY(),"Y")</f>
        <v>6</v>
      </c>
      <c r="J515" s="55" t="s">
        <v>276</v>
      </c>
      <c r="K515" s="56">
        <v>25245</v>
      </c>
      <c r="L515" s="57">
        <v>5</v>
      </c>
    </row>
    <row r="516" spans="1:12" ht="15" x14ac:dyDescent="0.25">
      <c r="A516" s="42" t="s">
        <v>995</v>
      </c>
      <c r="B516" s="49" t="s">
        <v>245</v>
      </c>
      <c r="C516" s="42" t="s">
        <v>767</v>
      </c>
      <c r="D516" s="75">
        <v>106686151</v>
      </c>
      <c r="E516" s="76">
        <v>2521246633</v>
      </c>
      <c r="F516" s="42" t="s">
        <v>247</v>
      </c>
      <c r="G516" s="84">
        <v>36086</v>
      </c>
      <c r="H516" s="108" t="str">
        <f>CHOOSE(MONTH(G516),"January","February","March","April","May","June","July","August","September","October","November","December")</f>
        <v>October</v>
      </c>
      <c r="I516" s="54">
        <f ca="1">DATEDIF(G516,TODAY(),"Y")</f>
        <v>18</v>
      </c>
      <c r="J516" s="55"/>
      <c r="K516" s="56">
        <v>47520</v>
      </c>
      <c r="L516" s="57">
        <v>1</v>
      </c>
    </row>
    <row r="517" spans="1:12" ht="15" x14ac:dyDescent="0.25">
      <c r="A517" s="42" t="s">
        <v>330</v>
      </c>
      <c r="B517" s="49" t="s">
        <v>285</v>
      </c>
      <c r="C517" s="42" t="s">
        <v>767</v>
      </c>
      <c r="D517" s="75">
        <v>945160038</v>
      </c>
      <c r="E517" s="76">
        <v>2527909707</v>
      </c>
      <c r="F517" s="42" t="s">
        <v>256</v>
      </c>
      <c r="G517" s="84">
        <v>37701</v>
      </c>
      <c r="H517" s="108" t="str">
        <f>CHOOSE(MONTH(G517),"January","February","March","April","May","June","July","August","September","October","November","December")</f>
        <v>March</v>
      </c>
      <c r="I517" s="54">
        <f ca="1">DATEDIF(G517,TODAY(),"Y")</f>
        <v>13</v>
      </c>
      <c r="J517" s="55" t="s">
        <v>262</v>
      </c>
      <c r="K517" s="56">
        <v>23560</v>
      </c>
      <c r="L517" s="57">
        <v>3</v>
      </c>
    </row>
    <row r="518" spans="1:12" ht="15" x14ac:dyDescent="0.25">
      <c r="A518" s="42" t="s">
        <v>584</v>
      </c>
      <c r="B518" s="49" t="s">
        <v>271</v>
      </c>
      <c r="C518" s="42" t="s">
        <v>767</v>
      </c>
      <c r="D518" s="75">
        <v>503036433</v>
      </c>
      <c r="E518" s="76">
        <v>9192453666</v>
      </c>
      <c r="F518" s="42" t="s">
        <v>256</v>
      </c>
      <c r="G518" s="84">
        <v>33460</v>
      </c>
      <c r="H518" s="108" t="str">
        <f>CHOOSE(MONTH(G518),"January","February","March","April","May","June","July","August","September","October","November","December")</f>
        <v>August</v>
      </c>
      <c r="I518" s="54">
        <f ca="1">DATEDIF(G518,TODAY(),"Y")</f>
        <v>25</v>
      </c>
      <c r="J518" s="55" t="s">
        <v>267</v>
      </c>
      <c r="K518" s="56">
        <v>77740</v>
      </c>
      <c r="L518" s="57">
        <v>1</v>
      </c>
    </row>
    <row r="519" spans="1:12" ht="15" x14ac:dyDescent="0.25">
      <c r="A519" s="42" t="s">
        <v>556</v>
      </c>
      <c r="B519" s="49" t="s">
        <v>280</v>
      </c>
      <c r="C519" s="42" t="s">
        <v>767</v>
      </c>
      <c r="D519" s="75">
        <v>886332647</v>
      </c>
      <c r="E519" s="76">
        <v>2526698101</v>
      </c>
      <c r="F519" s="42" t="s">
        <v>256</v>
      </c>
      <c r="G519" s="84">
        <v>37848</v>
      </c>
      <c r="H519" s="108" t="str">
        <f>CHOOSE(MONTH(G519),"January","February","March","April","May","June","July","August","September","October","November","December")</f>
        <v>August</v>
      </c>
      <c r="I519" s="54">
        <f ca="1">DATEDIF(G519,TODAY(),"Y")</f>
        <v>13</v>
      </c>
      <c r="J519" s="55" t="s">
        <v>262</v>
      </c>
      <c r="K519" s="56">
        <v>76910</v>
      </c>
      <c r="L519" s="57">
        <v>2</v>
      </c>
    </row>
    <row r="520" spans="1:12" ht="15" x14ac:dyDescent="0.25">
      <c r="A520" s="42" t="s">
        <v>976</v>
      </c>
      <c r="B520" s="49" t="s">
        <v>280</v>
      </c>
      <c r="C520" s="42" t="s">
        <v>767</v>
      </c>
      <c r="D520" s="75">
        <v>445693854</v>
      </c>
      <c r="E520" s="76">
        <v>9192891217</v>
      </c>
      <c r="F520" s="42" t="s">
        <v>247</v>
      </c>
      <c r="G520" s="84">
        <v>34915</v>
      </c>
      <c r="H520" s="108" t="str">
        <f>CHOOSE(MONTH(G520),"January","February","March","April","May","June","July","August","September","October","November","December")</f>
        <v>August</v>
      </c>
      <c r="I520" s="54">
        <f ca="1">DATEDIF(G520,TODAY(),"Y")</f>
        <v>21</v>
      </c>
      <c r="J520" s="55"/>
      <c r="K520" s="56">
        <v>76870</v>
      </c>
      <c r="L520" s="57">
        <v>5</v>
      </c>
    </row>
    <row r="521" spans="1:12" ht="15" x14ac:dyDescent="0.25">
      <c r="A521" s="42" t="s">
        <v>780</v>
      </c>
      <c r="B521" s="49" t="s">
        <v>280</v>
      </c>
      <c r="C521" s="42" t="s">
        <v>767</v>
      </c>
      <c r="D521" s="75">
        <v>369210573</v>
      </c>
      <c r="E521" s="76">
        <v>2526555049</v>
      </c>
      <c r="F521" s="42" t="s">
        <v>261</v>
      </c>
      <c r="G521" s="84">
        <v>36217</v>
      </c>
      <c r="H521" s="108" t="str">
        <f>CHOOSE(MONTH(G521),"January","February","March","April","May","June","July","August","September","October","November","December")</f>
        <v>February</v>
      </c>
      <c r="I521" s="54">
        <f ca="1">DATEDIF(G521,TODAY(),"Y")</f>
        <v>17</v>
      </c>
      <c r="J521" s="55" t="s">
        <v>283</v>
      </c>
      <c r="K521" s="56">
        <v>22475</v>
      </c>
      <c r="L521" s="57">
        <v>4</v>
      </c>
    </row>
    <row r="522" spans="1:12" ht="15" x14ac:dyDescent="0.25">
      <c r="A522" s="42" t="s">
        <v>426</v>
      </c>
      <c r="B522" s="49" t="s">
        <v>285</v>
      </c>
      <c r="C522" s="42" t="s">
        <v>767</v>
      </c>
      <c r="D522" s="75">
        <v>592519945</v>
      </c>
      <c r="E522" s="76">
        <v>9195990200</v>
      </c>
      <c r="F522" s="42" t="s">
        <v>256</v>
      </c>
      <c r="G522" s="84">
        <v>39446</v>
      </c>
      <c r="H522" s="108" t="str">
        <f>CHOOSE(MONTH(G522),"January","February","March","April","May","June","July","August","September","October","November","December")</f>
        <v>December</v>
      </c>
      <c r="I522" s="54">
        <f ca="1">DATEDIF(G522,TODAY(),"Y")</f>
        <v>8</v>
      </c>
      <c r="J522" s="55" t="s">
        <v>257</v>
      </c>
      <c r="K522" s="56">
        <v>44650</v>
      </c>
      <c r="L522" s="57">
        <v>1</v>
      </c>
    </row>
    <row r="523" spans="1:12" ht="15" x14ac:dyDescent="0.25">
      <c r="A523" s="42" t="s">
        <v>548</v>
      </c>
      <c r="B523" s="49" t="s">
        <v>285</v>
      </c>
      <c r="C523" s="42" t="s">
        <v>767</v>
      </c>
      <c r="D523" s="75">
        <v>528258211</v>
      </c>
      <c r="E523" s="76">
        <v>9194727385</v>
      </c>
      <c r="F523" s="42" t="s">
        <v>256</v>
      </c>
      <c r="G523" s="84">
        <v>33128</v>
      </c>
      <c r="H523" s="108" t="str">
        <f>CHOOSE(MONTH(G523),"January","February","March","April","May","June","July","August","September","October","November","December")</f>
        <v>September</v>
      </c>
      <c r="I523" s="54">
        <f ca="1">DATEDIF(G523,TODAY(),"Y")</f>
        <v>26</v>
      </c>
      <c r="J523" s="55" t="s">
        <v>267</v>
      </c>
      <c r="K523" s="56">
        <v>46110</v>
      </c>
      <c r="L523" s="57">
        <v>4</v>
      </c>
    </row>
    <row r="524" spans="1:12" ht="15" x14ac:dyDescent="0.25">
      <c r="A524" s="42" t="s">
        <v>762</v>
      </c>
      <c r="B524" s="49" t="s">
        <v>285</v>
      </c>
      <c r="C524" s="42" t="s">
        <v>767</v>
      </c>
      <c r="D524" s="75">
        <v>569882669</v>
      </c>
      <c r="E524" s="76">
        <v>2523122083</v>
      </c>
      <c r="F524" s="42" t="s">
        <v>256</v>
      </c>
      <c r="G524" s="84">
        <v>37568</v>
      </c>
      <c r="H524" s="108" t="str">
        <f>CHOOSE(MONTH(G524),"January","February","March","April","May","June","July","August","September","October","November","December")</f>
        <v>November</v>
      </c>
      <c r="I524" s="54">
        <f ca="1">DATEDIF(G524,TODAY(),"Y")</f>
        <v>14</v>
      </c>
      <c r="J524" s="55" t="s">
        <v>262</v>
      </c>
      <c r="K524" s="56">
        <v>45100</v>
      </c>
      <c r="L524" s="57">
        <v>2</v>
      </c>
    </row>
    <row r="525" spans="1:12" ht="15" x14ac:dyDescent="0.25">
      <c r="A525" s="42" t="s">
        <v>820</v>
      </c>
      <c r="B525" s="49" t="s">
        <v>245</v>
      </c>
      <c r="C525" s="42" t="s">
        <v>767</v>
      </c>
      <c r="D525" s="75">
        <v>378882665</v>
      </c>
      <c r="E525" s="76">
        <v>2526079829</v>
      </c>
      <c r="F525" s="42" t="s">
        <v>261</v>
      </c>
      <c r="G525" s="84">
        <v>33671</v>
      </c>
      <c r="H525" s="108" t="str">
        <f>CHOOSE(MONTH(G525),"January","February","March","April","May","June","July","August","September","October","November","December")</f>
        <v>March</v>
      </c>
      <c r="I525" s="54">
        <f ca="1">DATEDIF(G525,TODAY(),"Y")</f>
        <v>24</v>
      </c>
      <c r="J525" s="55" t="s">
        <v>257</v>
      </c>
      <c r="K525" s="56">
        <v>46380</v>
      </c>
      <c r="L525" s="57">
        <v>3</v>
      </c>
    </row>
    <row r="526" spans="1:12" ht="15" x14ac:dyDescent="0.25">
      <c r="A526" s="42" t="s">
        <v>459</v>
      </c>
      <c r="B526" s="49" t="s">
        <v>266</v>
      </c>
      <c r="C526" s="42" t="s">
        <v>767</v>
      </c>
      <c r="D526" s="75">
        <v>289103201</v>
      </c>
      <c r="E526" s="76">
        <v>9192921836</v>
      </c>
      <c r="F526" s="42" t="s">
        <v>256</v>
      </c>
      <c r="G526" s="84">
        <v>39217</v>
      </c>
      <c r="H526" s="108" t="str">
        <f>CHOOSE(MONTH(G526),"January","February","March","April","May","June","July","August","September","October","November","December")</f>
        <v>May</v>
      </c>
      <c r="I526" s="54">
        <f ca="1">DATEDIF(G526,TODAY(),"Y")</f>
        <v>9</v>
      </c>
      <c r="J526" s="55" t="s">
        <v>257</v>
      </c>
      <c r="K526" s="56">
        <v>73830</v>
      </c>
      <c r="L526" s="57">
        <v>2</v>
      </c>
    </row>
    <row r="527" spans="1:12" ht="15" x14ac:dyDescent="0.25">
      <c r="A527" s="42" t="s">
        <v>534</v>
      </c>
      <c r="B527" s="49" t="s">
        <v>251</v>
      </c>
      <c r="C527" s="42" t="s">
        <v>767</v>
      </c>
      <c r="D527" s="75">
        <v>343185481</v>
      </c>
      <c r="E527" s="76">
        <v>9196446519</v>
      </c>
      <c r="F527" s="42" t="s">
        <v>256</v>
      </c>
      <c r="G527" s="84">
        <v>35918</v>
      </c>
      <c r="H527" s="108" t="str">
        <f>CHOOSE(MONTH(G527),"January","February","March","April","May","June","July","August","September","October","November","December")</f>
        <v>May</v>
      </c>
      <c r="I527" s="54">
        <f ca="1">DATEDIF(G527,TODAY(),"Y")</f>
        <v>18</v>
      </c>
      <c r="J527" s="55" t="s">
        <v>262</v>
      </c>
      <c r="K527" s="56">
        <v>73740</v>
      </c>
      <c r="L527" s="57">
        <v>4</v>
      </c>
    </row>
    <row r="528" spans="1:12" ht="15" x14ac:dyDescent="0.25">
      <c r="A528" s="42" t="s">
        <v>670</v>
      </c>
      <c r="B528" s="49" t="s">
        <v>285</v>
      </c>
      <c r="C528" s="42" t="s">
        <v>767</v>
      </c>
      <c r="D528" s="75">
        <v>963000861</v>
      </c>
      <c r="E528" s="76">
        <v>2522792063</v>
      </c>
      <c r="F528" s="42" t="s">
        <v>247</v>
      </c>
      <c r="G528" s="84">
        <v>35146</v>
      </c>
      <c r="H528" s="108" t="str">
        <f>CHOOSE(MONTH(G528),"January","February","March","April","May","June","July","August","September","October","November","December")</f>
        <v>March</v>
      </c>
      <c r="I528" s="54">
        <f ca="1">DATEDIF(G528,TODAY(),"Y")</f>
        <v>20</v>
      </c>
      <c r="J528" s="55"/>
      <c r="K528" s="56">
        <v>73190</v>
      </c>
      <c r="L528" s="57">
        <v>1</v>
      </c>
    </row>
    <row r="529" spans="1:12" ht="15" x14ac:dyDescent="0.25">
      <c r="A529" s="42" t="s">
        <v>715</v>
      </c>
      <c r="B529" s="49" t="s">
        <v>245</v>
      </c>
      <c r="C529" s="42" t="s">
        <v>767</v>
      </c>
      <c r="D529" s="75">
        <v>174159111</v>
      </c>
      <c r="E529" s="76">
        <v>9191675237</v>
      </c>
      <c r="F529" s="42" t="s">
        <v>256</v>
      </c>
      <c r="G529" s="84">
        <v>35286</v>
      </c>
      <c r="H529" s="108" t="str">
        <f>CHOOSE(MONTH(G529),"January","February","March","April","May","June","July","August","September","October","November","December")</f>
        <v>August</v>
      </c>
      <c r="I529" s="54">
        <f ca="1">DATEDIF(G529,TODAY(),"Y")</f>
        <v>20</v>
      </c>
      <c r="J529" s="55" t="s">
        <v>262</v>
      </c>
      <c r="K529" s="56">
        <v>72700</v>
      </c>
      <c r="L529" s="57">
        <v>5</v>
      </c>
    </row>
    <row r="530" spans="1:12" ht="15" x14ac:dyDescent="0.25">
      <c r="A530" s="42" t="s">
        <v>965</v>
      </c>
      <c r="B530" s="49" t="s">
        <v>285</v>
      </c>
      <c r="C530" s="42" t="s">
        <v>767</v>
      </c>
      <c r="D530" s="75">
        <v>468234190</v>
      </c>
      <c r="E530" s="76">
        <v>2521569304</v>
      </c>
      <c r="F530" s="42" t="s">
        <v>256</v>
      </c>
      <c r="G530" s="84">
        <v>35169</v>
      </c>
      <c r="H530" s="108" t="str">
        <f>CHOOSE(MONTH(G530),"January","February","March","April","May","June","July","August","September","October","November","December")</f>
        <v>April</v>
      </c>
      <c r="I530" s="54">
        <f ca="1">DATEDIF(G530,TODAY(),"Y")</f>
        <v>20</v>
      </c>
      <c r="J530" s="55" t="s">
        <v>276</v>
      </c>
      <c r="K530" s="56">
        <v>72640</v>
      </c>
      <c r="L530" s="57">
        <v>3</v>
      </c>
    </row>
    <row r="531" spans="1:12" ht="15" x14ac:dyDescent="0.25">
      <c r="A531" s="42" t="s">
        <v>933</v>
      </c>
      <c r="B531" s="49" t="s">
        <v>285</v>
      </c>
      <c r="C531" s="42" t="s">
        <v>767</v>
      </c>
      <c r="D531" s="75">
        <v>828395582</v>
      </c>
      <c r="E531" s="76">
        <v>9198591986</v>
      </c>
      <c r="F531" s="42" t="s">
        <v>256</v>
      </c>
      <c r="G531" s="84">
        <v>33573</v>
      </c>
      <c r="H531" s="108" t="str">
        <f>CHOOSE(MONTH(G531),"January","February","March","April","May","June","July","August","September","October","November","December")</f>
        <v>December</v>
      </c>
      <c r="I531" s="54">
        <f ca="1">DATEDIF(G531,TODAY(),"Y")</f>
        <v>24</v>
      </c>
      <c r="J531" s="55" t="s">
        <v>276</v>
      </c>
      <c r="K531" s="56">
        <v>71680</v>
      </c>
      <c r="L531" s="57">
        <v>4</v>
      </c>
    </row>
    <row r="532" spans="1:12" ht="15" x14ac:dyDescent="0.25">
      <c r="A532" s="42" t="s">
        <v>497</v>
      </c>
      <c r="B532" s="49" t="s">
        <v>266</v>
      </c>
      <c r="C532" s="42" t="s">
        <v>767</v>
      </c>
      <c r="D532" s="75">
        <v>239847790</v>
      </c>
      <c r="E532" s="76">
        <v>2524045531</v>
      </c>
      <c r="F532" s="42" t="s">
        <v>247</v>
      </c>
      <c r="G532" s="84">
        <v>36375</v>
      </c>
      <c r="H532" s="108" t="str">
        <f>CHOOSE(MONTH(G532),"January","February","March","April","May","June","July","August","September","October","November","December")</f>
        <v>August</v>
      </c>
      <c r="I532" s="54">
        <f ca="1">DATEDIF(G532,TODAY(),"Y")</f>
        <v>17</v>
      </c>
      <c r="J532" s="55"/>
      <c r="K532" s="56">
        <v>71300</v>
      </c>
      <c r="L532" s="57">
        <v>5</v>
      </c>
    </row>
    <row r="533" spans="1:12" ht="15" x14ac:dyDescent="0.25">
      <c r="A533" s="42" t="s">
        <v>1021</v>
      </c>
      <c r="B533" s="49" t="s">
        <v>245</v>
      </c>
      <c r="C533" s="42" t="s">
        <v>767</v>
      </c>
      <c r="D533" s="75">
        <v>525699951</v>
      </c>
      <c r="E533" s="76">
        <v>9198400261</v>
      </c>
      <c r="F533" s="42" t="s">
        <v>252</v>
      </c>
      <c r="G533" s="84">
        <v>35946</v>
      </c>
      <c r="H533" s="108" t="str">
        <f>CHOOSE(MONTH(G533),"January","February","March","April","May","June","July","August","September","October","November","December")</f>
        <v>May</v>
      </c>
      <c r="I533" s="54">
        <f ca="1">DATEDIF(G533,TODAY(),"Y")</f>
        <v>18</v>
      </c>
      <c r="J533" s="55"/>
      <c r="K533" s="56">
        <v>14332</v>
      </c>
      <c r="L533" s="57">
        <v>5</v>
      </c>
    </row>
    <row r="534" spans="1:12" ht="15" x14ac:dyDescent="0.25">
      <c r="A534" s="42" t="s">
        <v>757</v>
      </c>
      <c r="B534" s="49" t="s">
        <v>280</v>
      </c>
      <c r="C534" s="42" t="s">
        <v>767</v>
      </c>
      <c r="D534" s="75">
        <v>486016972</v>
      </c>
      <c r="E534" s="76">
        <v>9194532398</v>
      </c>
      <c r="F534" s="42" t="s">
        <v>261</v>
      </c>
      <c r="G534" s="84">
        <v>39728</v>
      </c>
      <c r="H534" s="108" t="str">
        <f>CHOOSE(MONTH(G534),"January","February","March","April","May","June","July","August","September","October","November","December")</f>
        <v>October</v>
      </c>
      <c r="I534" s="54">
        <f ca="1">DATEDIF(G534,TODAY(),"Y")</f>
        <v>8</v>
      </c>
      <c r="J534" s="55" t="s">
        <v>257</v>
      </c>
      <c r="K534" s="56">
        <v>45565</v>
      </c>
      <c r="L534" s="57">
        <v>1</v>
      </c>
    </row>
    <row r="535" spans="1:12" ht="15" x14ac:dyDescent="0.25">
      <c r="A535" s="42" t="s">
        <v>430</v>
      </c>
      <c r="B535" s="49" t="s">
        <v>271</v>
      </c>
      <c r="C535" s="42" t="s">
        <v>767</v>
      </c>
      <c r="D535" s="75">
        <v>317193890</v>
      </c>
      <c r="E535" s="76">
        <v>9192350434</v>
      </c>
      <c r="F535" s="42" t="s">
        <v>256</v>
      </c>
      <c r="G535" s="84">
        <v>34169</v>
      </c>
      <c r="H535" s="108" t="str">
        <f>CHOOSE(MONTH(G535),"January","February","March","April","May","June","July","August","September","October","November","December")</f>
        <v>July</v>
      </c>
      <c r="I535" s="54">
        <f ca="1">DATEDIF(G535,TODAY(),"Y")</f>
        <v>23</v>
      </c>
      <c r="J535" s="55" t="s">
        <v>267</v>
      </c>
      <c r="K535" s="56">
        <v>69420</v>
      </c>
      <c r="L535" s="57">
        <v>2</v>
      </c>
    </row>
    <row r="536" spans="1:12" ht="15" x14ac:dyDescent="0.25">
      <c r="A536" s="42" t="s">
        <v>990</v>
      </c>
      <c r="B536" s="49" t="s">
        <v>285</v>
      </c>
      <c r="C536" s="42" t="s">
        <v>767</v>
      </c>
      <c r="D536" s="75">
        <v>115404531</v>
      </c>
      <c r="E536" s="76">
        <v>2522636321</v>
      </c>
      <c r="F536" s="42" t="s">
        <v>261</v>
      </c>
      <c r="G536" s="111">
        <v>38173</v>
      </c>
      <c r="H536" s="108" t="str">
        <f>CHOOSE(MONTH(G536),"January","February","March","April","May","June","July","August","September","October","November","December")</f>
        <v>July</v>
      </c>
      <c r="I536" s="54">
        <f ca="1">DATEDIF(G536,TODAY(),"Y")</f>
        <v>12</v>
      </c>
      <c r="J536" s="55" t="s">
        <v>283</v>
      </c>
      <c r="K536" s="56">
        <v>32900</v>
      </c>
      <c r="L536" s="57">
        <v>2</v>
      </c>
    </row>
    <row r="537" spans="1:12" ht="15" x14ac:dyDescent="0.25">
      <c r="A537" s="42" t="s">
        <v>578</v>
      </c>
      <c r="B537" s="49" t="s">
        <v>271</v>
      </c>
      <c r="C537" s="42" t="s">
        <v>767</v>
      </c>
      <c r="D537" s="75">
        <v>867100310</v>
      </c>
      <c r="E537" s="76">
        <v>9191376854</v>
      </c>
      <c r="F537" s="42" t="s">
        <v>256</v>
      </c>
      <c r="G537" s="84">
        <v>36393</v>
      </c>
      <c r="H537" s="108" t="str">
        <f>CHOOSE(MONTH(G537),"January","February","March","April","May","June","July","August","September","October","November","December")</f>
        <v>August</v>
      </c>
      <c r="I537" s="54">
        <f ca="1">DATEDIF(G537,TODAY(),"Y")</f>
        <v>17</v>
      </c>
      <c r="J537" s="55" t="s">
        <v>283</v>
      </c>
      <c r="K537" s="56">
        <v>65910</v>
      </c>
      <c r="L537" s="57">
        <v>5</v>
      </c>
    </row>
    <row r="538" spans="1:12" ht="15" x14ac:dyDescent="0.25">
      <c r="A538" s="42" t="s">
        <v>287</v>
      </c>
      <c r="B538" s="49" t="s">
        <v>271</v>
      </c>
      <c r="C538" s="42" t="s">
        <v>767</v>
      </c>
      <c r="D538" s="75">
        <v>990843236</v>
      </c>
      <c r="E538" s="76">
        <v>9196245634</v>
      </c>
      <c r="F538" s="42" t="s">
        <v>256</v>
      </c>
      <c r="G538" s="84">
        <v>39047</v>
      </c>
      <c r="H538" s="108" t="str">
        <f>CHOOSE(MONTH(G538),"January","February","March","April","May","June","July","August","September","October","November","December")</f>
        <v>November</v>
      </c>
      <c r="I538" s="54">
        <f ca="1">DATEDIF(G538,TODAY(),"Y")</f>
        <v>9</v>
      </c>
      <c r="J538" s="55" t="s">
        <v>283</v>
      </c>
      <c r="K538" s="56">
        <v>65880</v>
      </c>
      <c r="L538" s="57">
        <v>5</v>
      </c>
    </row>
    <row r="539" spans="1:12" ht="15" x14ac:dyDescent="0.25">
      <c r="A539" s="42" t="s">
        <v>546</v>
      </c>
      <c r="B539" s="49" t="s">
        <v>271</v>
      </c>
      <c r="C539" s="42" t="s">
        <v>767</v>
      </c>
      <c r="D539" s="75">
        <v>638495756</v>
      </c>
      <c r="E539" s="76">
        <v>2528922252</v>
      </c>
      <c r="F539" s="42" t="s">
        <v>247</v>
      </c>
      <c r="G539" s="84">
        <v>33949</v>
      </c>
      <c r="H539" s="108" t="str">
        <f>CHOOSE(MONTH(G539),"January","February","March","April","May","June","July","August","September","October","November","December")</f>
        <v>December</v>
      </c>
      <c r="I539" s="54">
        <f ca="1">DATEDIF(G539,TODAY(),"Y")</f>
        <v>23</v>
      </c>
      <c r="J539" s="55"/>
      <c r="K539" s="56">
        <v>44720</v>
      </c>
      <c r="L539" s="57">
        <v>2</v>
      </c>
    </row>
    <row r="540" spans="1:12" ht="15" x14ac:dyDescent="0.25">
      <c r="A540" s="42" t="s">
        <v>875</v>
      </c>
      <c r="B540" s="49" t="s">
        <v>245</v>
      </c>
      <c r="C540" s="42" t="s">
        <v>767</v>
      </c>
      <c r="D540" s="75">
        <v>476243591</v>
      </c>
      <c r="E540" s="76">
        <v>9197188067</v>
      </c>
      <c r="F540" s="42" t="s">
        <v>256</v>
      </c>
      <c r="G540" s="84">
        <v>34989</v>
      </c>
      <c r="H540" s="108" t="str">
        <f>CHOOSE(MONTH(G540),"January","February","March","April","May","June","July","August","September","October","November","December")</f>
        <v>October</v>
      </c>
      <c r="I540" s="54">
        <f ca="1">DATEDIF(G540,TODAY(),"Y")</f>
        <v>21</v>
      </c>
      <c r="J540" s="55" t="s">
        <v>257</v>
      </c>
      <c r="K540" s="56">
        <v>50570</v>
      </c>
      <c r="L540" s="57">
        <v>4</v>
      </c>
    </row>
    <row r="541" spans="1:12" ht="15" x14ac:dyDescent="0.25">
      <c r="A541" s="42" t="s">
        <v>974</v>
      </c>
      <c r="B541" s="49" t="s">
        <v>266</v>
      </c>
      <c r="C541" s="42" t="s">
        <v>767</v>
      </c>
      <c r="D541" s="75">
        <v>868364739</v>
      </c>
      <c r="E541" s="76">
        <v>9195255121</v>
      </c>
      <c r="F541" s="42" t="s">
        <v>261</v>
      </c>
      <c r="G541" s="84">
        <v>40293</v>
      </c>
      <c r="H541" s="108" t="str">
        <f>CHOOSE(MONTH(G541),"January","February","March","April","May","June","July","August","September","October","November","December")</f>
        <v>April</v>
      </c>
      <c r="I541" s="54">
        <f ca="1">DATEDIF(G541,TODAY(),"Y")</f>
        <v>6</v>
      </c>
      <c r="J541" s="55" t="s">
        <v>257</v>
      </c>
      <c r="K541" s="56">
        <v>11810</v>
      </c>
      <c r="L541" s="57">
        <v>1</v>
      </c>
    </row>
    <row r="542" spans="1:12" ht="15" x14ac:dyDescent="0.25">
      <c r="A542" s="42" t="s">
        <v>1032</v>
      </c>
      <c r="B542" s="49" t="s">
        <v>285</v>
      </c>
      <c r="C542" s="42" t="s">
        <v>767</v>
      </c>
      <c r="D542" s="75">
        <v>765512793</v>
      </c>
      <c r="E542" s="76">
        <v>9197686976</v>
      </c>
      <c r="F542" s="42" t="s">
        <v>256</v>
      </c>
      <c r="G542" s="84">
        <v>39864</v>
      </c>
      <c r="H542" s="108" t="str">
        <f>CHOOSE(MONTH(G542),"January","February","March","April","May","June","July","August","September","October","November","December")</f>
        <v>February</v>
      </c>
      <c r="I542" s="54">
        <f ca="1">DATEDIF(G542,TODAY(),"Y")</f>
        <v>7</v>
      </c>
      <c r="J542" s="55" t="s">
        <v>257</v>
      </c>
      <c r="K542" s="56">
        <v>64320</v>
      </c>
      <c r="L542" s="57">
        <v>5</v>
      </c>
    </row>
    <row r="543" spans="1:12" ht="15" x14ac:dyDescent="0.25">
      <c r="A543" s="42" t="s">
        <v>362</v>
      </c>
      <c r="B543" s="49" t="s">
        <v>271</v>
      </c>
      <c r="C543" s="42" t="s">
        <v>767</v>
      </c>
      <c r="D543" s="75">
        <v>278129861</v>
      </c>
      <c r="E543" s="76">
        <v>9198561246</v>
      </c>
      <c r="F543" s="42" t="s">
        <v>247</v>
      </c>
      <c r="G543" s="106">
        <v>40404</v>
      </c>
      <c r="H543" s="108" t="str">
        <f>CHOOSE(MONTH(G543),"January","February","March","April","May","June","July","August","September","October","November","December")</f>
        <v>August</v>
      </c>
      <c r="I543" s="54">
        <f ca="1">DATEDIF(G543,TODAY(),"Y")</f>
        <v>6</v>
      </c>
      <c r="J543" s="55"/>
      <c r="K543" s="56">
        <v>39550</v>
      </c>
      <c r="L543" s="57">
        <v>5</v>
      </c>
    </row>
    <row r="544" spans="1:12" ht="15" x14ac:dyDescent="0.25">
      <c r="A544" s="42" t="s">
        <v>739</v>
      </c>
      <c r="B544" s="49" t="s">
        <v>285</v>
      </c>
      <c r="C544" s="42" t="s">
        <v>767</v>
      </c>
      <c r="D544" s="75">
        <v>967035612</v>
      </c>
      <c r="E544" s="76">
        <v>2528842613</v>
      </c>
      <c r="F544" s="42" t="s">
        <v>256</v>
      </c>
      <c r="G544" s="84">
        <v>34149</v>
      </c>
      <c r="H544" s="108" t="str">
        <f>CHOOSE(MONTH(G544),"January","February","March","April","May","June","July","August","September","October","November","December")</f>
        <v>June</v>
      </c>
      <c r="I544" s="54">
        <f ca="1">DATEDIF(G544,TODAY(),"Y")</f>
        <v>23</v>
      </c>
      <c r="J544" s="55" t="s">
        <v>276</v>
      </c>
      <c r="K544" s="56">
        <v>63440</v>
      </c>
      <c r="L544" s="57">
        <v>3</v>
      </c>
    </row>
    <row r="545" spans="1:12" ht="15" x14ac:dyDescent="0.25">
      <c r="A545" s="42" t="s">
        <v>434</v>
      </c>
      <c r="B545" s="49" t="s">
        <v>285</v>
      </c>
      <c r="C545" s="42" t="s">
        <v>767</v>
      </c>
      <c r="D545" s="75">
        <v>302170290</v>
      </c>
      <c r="E545" s="76">
        <v>9191971988</v>
      </c>
      <c r="F545" s="42" t="s">
        <v>256</v>
      </c>
      <c r="G545" s="84">
        <v>35528</v>
      </c>
      <c r="H545" s="108" t="str">
        <f>CHOOSE(MONTH(G545),"January","February","March","April","May","June","July","August","September","October","November","December")</f>
        <v>April</v>
      </c>
      <c r="I545" s="54">
        <f ca="1">DATEDIF(G545,TODAY(),"Y")</f>
        <v>19</v>
      </c>
      <c r="J545" s="55" t="s">
        <v>257</v>
      </c>
      <c r="K545" s="56">
        <v>63270</v>
      </c>
      <c r="L545" s="57">
        <v>1</v>
      </c>
    </row>
    <row r="546" spans="1:12" ht="15" x14ac:dyDescent="0.25">
      <c r="A546" s="42" t="s">
        <v>642</v>
      </c>
      <c r="B546" s="49" t="s">
        <v>285</v>
      </c>
      <c r="C546" s="42" t="s">
        <v>767</v>
      </c>
      <c r="D546" s="75">
        <v>449987941</v>
      </c>
      <c r="E546" s="76">
        <v>2528742282</v>
      </c>
      <c r="F546" s="42" t="s">
        <v>256</v>
      </c>
      <c r="G546" s="84">
        <v>40477</v>
      </c>
      <c r="H546" s="108" t="str">
        <f>CHOOSE(MONTH(G546),"January","February","March","April","May","June","July","August","September","October","November","December")</f>
        <v>October</v>
      </c>
      <c r="I546" s="54">
        <f ca="1">DATEDIF(G546,TODAY(),"Y")</f>
        <v>6</v>
      </c>
      <c r="J546" s="55" t="s">
        <v>267</v>
      </c>
      <c r="K546" s="56">
        <v>63206</v>
      </c>
      <c r="L546" s="57">
        <v>1</v>
      </c>
    </row>
    <row r="547" spans="1:12" ht="15" x14ac:dyDescent="0.25">
      <c r="A547" s="42" t="s">
        <v>913</v>
      </c>
      <c r="B547" s="49" t="s">
        <v>271</v>
      </c>
      <c r="C547" s="42" t="s">
        <v>767</v>
      </c>
      <c r="D547" s="75">
        <v>191359642</v>
      </c>
      <c r="E547" s="76">
        <v>2528687353</v>
      </c>
      <c r="F547" s="42" t="s">
        <v>256</v>
      </c>
      <c r="G547" s="84">
        <v>33361</v>
      </c>
      <c r="H547" s="108" t="str">
        <f>CHOOSE(MONTH(G547),"January","February","March","April","May","June","July","August","September","October","November","December")</f>
        <v>May</v>
      </c>
      <c r="I547" s="54">
        <f ca="1">DATEDIF(G547,TODAY(),"Y")</f>
        <v>25</v>
      </c>
      <c r="J547" s="55" t="s">
        <v>257</v>
      </c>
      <c r="K547" s="56">
        <v>24090</v>
      </c>
      <c r="L547" s="57">
        <v>4</v>
      </c>
    </row>
    <row r="548" spans="1:12" ht="15" x14ac:dyDescent="0.25">
      <c r="A548" s="42" t="s">
        <v>832</v>
      </c>
      <c r="B548" s="49" t="s">
        <v>245</v>
      </c>
      <c r="C548" s="42" t="s">
        <v>767</v>
      </c>
      <c r="D548" s="75">
        <v>160184934</v>
      </c>
      <c r="E548" s="76">
        <v>9191191599</v>
      </c>
      <c r="F548" s="42" t="s">
        <v>261</v>
      </c>
      <c r="G548" s="84">
        <v>34793</v>
      </c>
      <c r="H548" s="108" t="str">
        <f>CHOOSE(MONTH(G548),"January","February","March","April","May","June","July","August","September","October","November","December")</f>
        <v>April</v>
      </c>
      <c r="I548" s="54">
        <f ca="1">DATEDIF(G548,TODAY(),"Y")</f>
        <v>21</v>
      </c>
      <c r="J548" s="55" t="s">
        <v>283</v>
      </c>
      <c r="K548" s="56">
        <v>10700</v>
      </c>
      <c r="L548" s="57">
        <v>4</v>
      </c>
    </row>
    <row r="549" spans="1:12" ht="15" x14ac:dyDescent="0.25">
      <c r="A549" s="42" t="s">
        <v>607</v>
      </c>
      <c r="B549" s="49" t="s">
        <v>271</v>
      </c>
      <c r="C549" s="42" t="s">
        <v>767</v>
      </c>
      <c r="D549" s="75">
        <v>209846975</v>
      </c>
      <c r="E549" s="76">
        <v>2522639452</v>
      </c>
      <c r="F549" s="42" t="s">
        <v>261</v>
      </c>
      <c r="G549" s="84">
        <v>37249</v>
      </c>
      <c r="H549" s="108" t="str">
        <f>CHOOSE(MONTH(G549),"January","February","March","April","May","June","July","August","September","October","November","December")</f>
        <v>December</v>
      </c>
      <c r="I549" s="54">
        <f ca="1">DATEDIF(G549,TODAY(),"Y")</f>
        <v>14</v>
      </c>
      <c r="J549" s="55" t="s">
        <v>276</v>
      </c>
      <c r="K549" s="56">
        <v>12545</v>
      </c>
      <c r="L549" s="57">
        <v>4</v>
      </c>
    </row>
    <row r="550" spans="1:12" ht="15" x14ac:dyDescent="0.25">
      <c r="A550" s="42" t="s">
        <v>437</v>
      </c>
      <c r="B550" s="49" t="s">
        <v>271</v>
      </c>
      <c r="C550" s="42" t="s">
        <v>767</v>
      </c>
      <c r="D550" s="75">
        <v>379340654</v>
      </c>
      <c r="E550" s="76">
        <v>9198642893</v>
      </c>
      <c r="F550" s="42" t="s">
        <v>256</v>
      </c>
      <c r="G550" s="84">
        <v>35990</v>
      </c>
      <c r="H550" s="108" t="str">
        <f>CHOOSE(MONTH(G550),"January","February","March","April","May","June","July","August","September","October","November","December")</f>
        <v>July</v>
      </c>
      <c r="I550" s="54">
        <f ca="1">DATEDIF(G550,TODAY(),"Y")</f>
        <v>18</v>
      </c>
      <c r="J550" s="55" t="s">
        <v>276</v>
      </c>
      <c r="K550" s="56">
        <v>36890</v>
      </c>
      <c r="L550" s="57">
        <v>1</v>
      </c>
    </row>
    <row r="551" spans="1:12" ht="15" x14ac:dyDescent="0.25">
      <c r="A551" s="42" t="s">
        <v>447</v>
      </c>
      <c r="B551" s="49" t="s">
        <v>266</v>
      </c>
      <c r="C551" s="42" t="s">
        <v>767</v>
      </c>
      <c r="D551" s="75">
        <v>920265140</v>
      </c>
      <c r="E551" s="76">
        <v>2524078104</v>
      </c>
      <c r="F551" s="42" t="s">
        <v>256</v>
      </c>
      <c r="G551" s="84">
        <v>38790</v>
      </c>
      <c r="H551" s="108" t="str">
        <f>CHOOSE(MONTH(G551),"January","February","March","April","May","June","July","August","September","October","November","December")</f>
        <v>March</v>
      </c>
      <c r="I551" s="54">
        <f ca="1">DATEDIF(G551,TODAY(),"Y")</f>
        <v>10</v>
      </c>
      <c r="J551" s="55" t="s">
        <v>262</v>
      </c>
      <c r="K551" s="56">
        <v>62688</v>
      </c>
      <c r="L551" s="57">
        <v>3</v>
      </c>
    </row>
    <row r="552" spans="1:12" ht="15" x14ac:dyDescent="0.25">
      <c r="A552" s="42" t="s">
        <v>1026</v>
      </c>
      <c r="B552" s="49" t="s">
        <v>245</v>
      </c>
      <c r="C552" s="42" t="s">
        <v>767</v>
      </c>
      <c r="D552" s="75">
        <v>643979374</v>
      </c>
      <c r="E552" s="76">
        <v>2521230519</v>
      </c>
      <c r="F552" s="42" t="s">
        <v>247</v>
      </c>
      <c r="G552" s="84">
        <v>35541</v>
      </c>
      <c r="H552" s="108" t="str">
        <f>CHOOSE(MONTH(G552),"January","February","March","April","May","June","July","August","September","October","November","December")</f>
        <v>April</v>
      </c>
      <c r="I552" s="54">
        <f ca="1">DATEDIF(G552,TODAY(),"Y")</f>
        <v>19</v>
      </c>
      <c r="J552" s="55"/>
      <c r="K552" s="56">
        <v>49530</v>
      </c>
      <c r="L552" s="57">
        <v>4</v>
      </c>
    </row>
    <row r="553" spans="1:12" ht="15" x14ac:dyDescent="0.25">
      <c r="A553" s="42" t="s">
        <v>305</v>
      </c>
      <c r="B553" s="49" t="s">
        <v>271</v>
      </c>
      <c r="C553" s="42" t="s">
        <v>767</v>
      </c>
      <c r="D553" s="75">
        <v>313358310</v>
      </c>
      <c r="E553" s="76">
        <v>9195442791</v>
      </c>
      <c r="F553" s="42" t="s">
        <v>256</v>
      </c>
      <c r="G553" s="84">
        <v>34222</v>
      </c>
      <c r="H553" s="108" t="str">
        <f>CHOOSE(MONTH(G553),"January","February","March","April","May","June","July","August","September","October","November","December")</f>
        <v>September</v>
      </c>
      <c r="I553" s="54">
        <f ca="1">DATEDIF(G553,TODAY(),"Y")</f>
        <v>23</v>
      </c>
      <c r="J553" s="55" t="s">
        <v>257</v>
      </c>
      <c r="K553" s="56">
        <v>62688</v>
      </c>
      <c r="L553" s="57">
        <v>2</v>
      </c>
    </row>
    <row r="554" spans="1:12" ht="15" x14ac:dyDescent="0.25">
      <c r="A554" s="42" t="s">
        <v>369</v>
      </c>
      <c r="B554" s="49" t="s">
        <v>271</v>
      </c>
      <c r="C554" s="42" t="s">
        <v>767</v>
      </c>
      <c r="D554" s="75">
        <v>113252240</v>
      </c>
      <c r="E554" s="76">
        <v>2526712695</v>
      </c>
      <c r="F554" s="42" t="s">
        <v>256</v>
      </c>
      <c r="G554" s="84">
        <v>36536</v>
      </c>
      <c r="H554" s="108" t="str">
        <f>CHOOSE(MONTH(G554),"January","February","March","April","May","June","July","August","September","October","November","December")</f>
        <v>January</v>
      </c>
      <c r="I554" s="54">
        <f ca="1">DATEDIF(G554,TODAY(),"Y")</f>
        <v>16</v>
      </c>
      <c r="J554" s="55" t="s">
        <v>257</v>
      </c>
      <c r="K554" s="56">
        <v>62400</v>
      </c>
      <c r="L554" s="57">
        <v>4</v>
      </c>
    </row>
    <row r="555" spans="1:12" ht="15" x14ac:dyDescent="0.25">
      <c r="A555" s="42" t="s">
        <v>786</v>
      </c>
      <c r="B555" s="49" t="s">
        <v>285</v>
      </c>
      <c r="C555" s="42" t="s">
        <v>767</v>
      </c>
      <c r="D555" s="75">
        <v>160662505</v>
      </c>
      <c r="E555" s="76">
        <v>2526427045</v>
      </c>
      <c r="F555" s="42" t="s">
        <v>247</v>
      </c>
      <c r="G555" s="84">
        <v>37526</v>
      </c>
      <c r="H555" s="108" t="str">
        <f>CHOOSE(MONTH(G555),"January","February","March","April","May","June","July","August","September","October","November","December")</f>
        <v>September</v>
      </c>
      <c r="I555" s="54">
        <f ca="1">DATEDIF(G555,TODAY(),"Y")</f>
        <v>14</v>
      </c>
      <c r="J555" s="55"/>
      <c r="K555" s="56">
        <v>61580</v>
      </c>
      <c r="L555" s="57">
        <v>3</v>
      </c>
    </row>
    <row r="556" spans="1:12" ht="15" x14ac:dyDescent="0.25">
      <c r="A556" s="42" t="s">
        <v>744</v>
      </c>
      <c r="B556" s="49" t="s">
        <v>285</v>
      </c>
      <c r="C556" s="42" t="s">
        <v>767</v>
      </c>
      <c r="D556" s="75">
        <v>965916299</v>
      </c>
      <c r="E556" s="76">
        <v>9193552027</v>
      </c>
      <c r="F556" s="42" t="s">
        <v>256</v>
      </c>
      <c r="G556" s="84">
        <v>35693</v>
      </c>
      <c r="H556" s="108" t="str">
        <f>CHOOSE(MONTH(G556),"January","February","March","April","May","June","July","August","September","October","November","December")</f>
        <v>September</v>
      </c>
      <c r="I556" s="54">
        <f ca="1">DATEDIF(G556,TODAY(),"Y")</f>
        <v>19</v>
      </c>
      <c r="J556" s="55" t="s">
        <v>262</v>
      </c>
      <c r="K556" s="56">
        <v>24340</v>
      </c>
      <c r="L556" s="57">
        <v>4</v>
      </c>
    </row>
    <row r="557" spans="1:12" ht="15" x14ac:dyDescent="0.25">
      <c r="A557" s="42" t="s">
        <v>763</v>
      </c>
      <c r="B557" s="49" t="s">
        <v>285</v>
      </c>
      <c r="C557" s="42" t="s">
        <v>767</v>
      </c>
      <c r="D557" s="75">
        <v>475671127</v>
      </c>
      <c r="E557" s="76">
        <v>9196650531</v>
      </c>
      <c r="F557" s="42" t="s">
        <v>256</v>
      </c>
      <c r="G557" s="84">
        <v>35958</v>
      </c>
      <c r="H557" s="108" t="str">
        <f>CHOOSE(MONTH(G557),"January","February","March","April","May","June","July","August","September","October","November","December")</f>
        <v>June</v>
      </c>
      <c r="I557" s="54">
        <f ca="1">DATEDIF(G557,TODAY(),"Y")</f>
        <v>18</v>
      </c>
      <c r="J557" s="55" t="s">
        <v>283</v>
      </c>
      <c r="K557" s="56">
        <v>61420</v>
      </c>
      <c r="L557" s="57">
        <v>4</v>
      </c>
    </row>
    <row r="558" spans="1:12" ht="15" x14ac:dyDescent="0.25">
      <c r="A558" s="42" t="s">
        <v>696</v>
      </c>
      <c r="B558" s="49" t="s">
        <v>266</v>
      </c>
      <c r="C558" s="42" t="s">
        <v>767</v>
      </c>
      <c r="D558" s="75">
        <v>546159785</v>
      </c>
      <c r="E558" s="76">
        <v>2522924678</v>
      </c>
      <c r="F558" s="42" t="s">
        <v>256</v>
      </c>
      <c r="G558" s="84">
        <v>38423</v>
      </c>
      <c r="H558" s="108" t="str">
        <f>CHOOSE(MONTH(G558),"January","February","March","April","May","June","July","August","September","October","November","December")</f>
        <v>March</v>
      </c>
      <c r="I558" s="54">
        <f ca="1">DATEDIF(G558,TODAY(),"Y")</f>
        <v>11</v>
      </c>
      <c r="J558" s="55" t="s">
        <v>276</v>
      </c>
      <c r="K558" s="56">
        <v>61330</v>
      </c>
      <c r="L558" s="57">
        <v>2</v>
      </c>
    </row>
    <row r="559" spans="1:12" ht="15" x14ac:dyDescent="0.25">
      <c r="A559" s="42" t="s">
        <v>880</v>
      </c>
      <c r="B559" s="49" t="s">
        <v>245</v>
      </c>
      <c r="C559" s="42" t="s">
        <v>767</v>
      </c>
      <c r="D559" s="75">
        <v>828715080</v>
      </c>
      <c r="E559" s="76">
        <v>2523613559</v>
      </c>
      <c r="F559" s="42" t="s">
        <v>256</v>
      </c>
      <c r="G559" s="84">
        <v>35094</v>
      </c>
      <c r="H559" s="108" t="str">
        <f>CHOOSE(MONTH(G559),"January","February","March","April","May","June","July","August","September","October","November","December")</f>
        <v>January</v>
      </c>
      <c r="I559" s="54">
        <f ca="1">DATEDIF(G559,TODAY(),"Y")</f>
        <v>20</v>
      </c>
      <c r="J559" s="55" t="s">
        <v>262</v>
      </c>
      <c r="K559" s="56">
        <v>61148</v>
      </c>
      <c r="L559" s="57">
        <v>2</v>
      </c>
    </row>
    <row r="560" spans="1:12" ht="15" x14ac:dyDescent="0.25">
      <c r="A560" s="42" t="s">
        <v>795</v>
      </c>
      <c r="B560" s="49" t="s">
        <v>245</v>
      </c>
      <c r="C560" s="42" t="s">
        <v>767</v>
      </c>
      <c r="D560" s="75">
        <v>808012612</v>
      </c>
      <c r="E560" s="76">
        <v>9193717553</v>
      </c>
      <c r="F560" s="42" t="s">
        <v>247</v>
      </c>
      <c r="G560" s="84">
        <v>33658</v>
      </c>
      <c r="H560" s="108" t="str">
        <f>CHOOSE(MONTH(G560),"January","February","March","April","May","June","July","August","September","October","November","December")</f>
        <v>February</v>
      </c>
      <c r="I560" s="54">
        <f ca="1">DATEDIF(G560,TODAY(),"Y")</f>
        <v>24</v>
      </c>
      <c r="J560" s="55"/>
      <c r="K560" s="56">
        <v>60550</v>
      </c>
      <c r="L560" s="57">
        <v>2</v>
      </c>
    </row>
    <row r="561" spans="1:12" ht="15" x14ac:dyDescent="0.25">
      <c r="A561" s="42" t="s">
        <v>841</v>
      </c>
      <c r="B561" s="49" t="s">
        <v>251</v>
      </c>
      <c r="C561" s="42" t="s">
        <v>767</v>
      </c>
      <c r="D561" s="75">
        <v>618775364</v>
      </c>
      <c r="E561" s="76">
        <v>9193182167</v>
      </c>
      <c r="F561" s="42" t="s">
        <v>261</v>
      </c>
      <c r="G561" s="106">
        <v>40254</v>
      </c>
      <c r="H561" s="108" t="str">
        <f>CHOOSE(MONTH(G561),"January","February","March","April","May","June","July","August","September","October","November","December")</f>
        <v>March</v>
      </c>
      <c r="I561" s="54">
        <f ca="1">DATEDIF(G561,TODAY(),"Y")</f>
        <v>6</v>
      </c>
      <c r="J561" s="55" t="s">
        <v>283</v>
      </c>
      <c r="K561" s="56">
        <v>48700</v>
      </c>
      <c r="L561" s="57">
        <v>3</v>
      </c>
    </row>
    <row r="562" spans="1:12" ht="15" x14ac:dyDescent="0.25">
      <c r="A562" s="42" t="s">
        <v>713</v>
      </c>
      <c r="B562" s="49" t="s">
        <v>285</v>
      </c>
      <c r="C562" s="42" t="s">
        <v>767</v>
      </c>
      <c r="D562" s="75">
        <v>556327593</v>
      </c>
      <c r="E562" s="76">
        <v>2523324762</v>
      </c>
      <c r="F562" s="42" t="s">
        <v>247</v>
      </c>
      <c r="G562" s="84">
        <v>35301</v>
      </c>
      <c r="H562" s="108" t="str">
        <f>CHOOSE(MONTH(G562),"January","February","March","April","May","June","July","August","September","October","November","December")</f>
        <v>August</v>
      </c>
      <c r="I562" s="54">
        <f ca="1">DATEDIF(G562,TODAY(),"Y")</f>
        <v>20</v>
      </c>
      <c r="J562" s="55"/>
      <c r="K562" s="56">
        <v>60070</v>
      </c>
      <c r="L562" s="57">
        <v>2</v>
      </c>
    </row>
    <row r="563" spans="1:12" ht="15" x14ac:dyDescent="0.25">
      <c r="A563" s="42" t="s">
        <v>793</v>
      </c>
      <c r="B563" s="49" t="s">
        <v>271</v>
      </c>
      <c r="C563" s="42" t="s">
        <v>767</v>
      </c>
      <c r="D563" s="75">
        <v>339488599</v>
      </c>
      <c r="E563" s="76">
        <v>9191267946</v>
      </c>
      <c r="F563" s="42" t="s">
        <v>247</v>
      </c>
      <c r="G563" s="84">
        <v>37404</v>
      </c>
      <c r="H563" s="108" t="str">
        <f>CHOOSE(MONTH(G563),"January","February","March","April","May","June","July","August","September","October","November","December")</f>
        <v>May</v>
      </c>
      <c r="I563" s="54">
        <f ca="1">DATEDIF(G563,TODAY(),"Y")</f>
        <v>14</v>
      </c>
      <c r="J563" s="55"/>
      <c r="K563" s="56">
        <v>60070</v>
      </c>
      <c r="L563" s="57">
        <v>3</v>
      </c>
    </row>
    <row r="564" spans="1:12" ht="15" x14ac:dyDescent="0.25">
      <c r="A564" s="42" t="s">
        <v>582</v>
      </c>
      <c r="B564" s="49" t="s">
        <v>285</v>
      </c>
      <c r="C564" s="42" t="s">
        <v>767</v>
      </c>
      <c r="D564" s="75">
        <v>699386024</v>
      </c>
      <c r="E564" s="76">
        <v>2525842116</v>
      </c>
      <c r="F564" s="42" t="s">
        <v>252</v>
      </c>
      <c r="G564" s="84">
        <v>36028</v>
      </c>
      <c r="H564" s="108" t="str">
        <f>CHOOSE(MONTH(G564),"January","February","March","April","May","June","July","August","September","October","November","December")</f>
        <v>August</v>
      </c>
      <c r="I564" s="54">
        <f ca="1">DATEDIF(G564,TODAY(),"Y")</f>
        <v>18</v>
      </c>
      <c r="J564" s="55"/>
      <c r="K564" s="56">
        <v>16688</v>
      </c>
      <c r="L564" s="57">
        <v>3</v>
      </c>
    </row>
    <row r="565" spans="1:12" ht="15" x14ac:dyDescent="0.25">
      <c r="A565" s="42" t="s">
        <v>374</v>
      </c>
      <c r="B565" s="49" t="s">
        <v>271</v>
      </c>
      <c r="C565" s="42" t="s">
        <v>767</v>
      </c>
      <c r="D565" s="75">
        <v>214291610</v>
      </c>
      <c r="E565" s="76">
        <v>2523858464</v>
      </c>
      <c r="F565" s="42" t="s">
        <v>256</v>
      </c>
      <c r="G565" s="84">
        <v>35219</v>
      </c>
      <c r="H565" s="108" t="str">
        <f>CHOOSE(MONTH(G565),"January","February","March","April","May","June","July","August","September","October","November","December")</f>
        <v>June</v>
      </c>
      <c r="I565" s="54">
        <f ca="1">DATEDIF(G565,TODAY(),"Y")</f>
        <v>20</v>
      </c>
      <c r="J565" s="55" t="s">
        <v>257</v>
      </c>
      <c r="K565" s="56">
        <v>47340</v>
      </c>
      <c r="L565" s="57">
        <v>2</v>
      </c>
    </row>
    <row r="566" spans="1:12" ht="15" x14ac:dyDescent="0.25">
      <c r="A566" s="42" t="s">
        <v>898</v>
      </c>
      <c r="B566" s="49" t="s">
        <v>271</v>
      </c>
      <c r="C566" s="42" t="s">
        <v>767</v>
      </c>
      <c r="D566" s="75">
        <v>456809622</v>
      </c>
      <c r="E566" s="76">
        <v>2523046338</v>
      </c>
      <c r="F566" s="42" t="s">
        <v>256</v>
      </c>
      <c r="G566" s="84">
        <v>33098</v>
      </c>
      <c r="H566" s="108" t="str">
        <f>CHOOSE(MONTH(G566),"January","February","March","April","May","June","July","August","September","October","November","December")</f>
        <v>August</v>
      </c>
      <c r="I566" s="54">
        <f ca="1">DATEDIF(G566,TODAY(),"Y")</f>
        <v>26</v>
      </c>
      <c r="J566" s="55" t="s">
        <v>257</v>
      </c>
      <c r="K566" s="56">
        <v>48080</v>
      </c>
      <c r="L566" s="57">
        <v>2</v>
      </c>
    </row>
    <row r="567" spans="1:12" ht="15" x14ac:dyDescent="0.25">
      <c r="A567" s="48" t="s">
        <v>250</v>
      </c>
      <c r="B567" s="49" t="s">
        <v>285</v>
      </c>
      <c r="C567" s="42" t="s">
        <v>767</v>
      </c>
      <c r="D567" s="75">
        <v>394876677</v>
      </c>
      <c r="E567" s="76">
        <v>2522551469</v>
      </c>
      <c r="F567" s="42" t="s">
        <v>256</v>
      </c>
      <c r="G567" s="84">
        <v>35616</v>
      </c>
      <c r="H567" s="108" t="str">
        <f>CHOOSE(MONTH(G567),"January","February","March","April","May","June","July","August","September","October","November","December")</f>
        <v>July</v>
      </c>
      <c r="I567" s="54">
        <f ca="1">DATEDIF(G567,TODAY(),"Y")</f>
        <v>19</v>
      </c>
      <c r="J567" s="55" t="s">
        <v>283</v>
      </c>
      <c r="K567" s="56">
        <v>34060</v>
      </c>
      <c r="L567" s="57">
        <v>2</v>
      </c>
    </row>
    <row r="568" spans="1:12" ht="15" x14ac:dyDescent="0.25">
      <c r="A568" s="42" t="s">
        <v>955</v>
      </c>
      <c r="B568" s="49" t="s">
        <v>285</v>
      </c>
      <c r="C568" s="42" t="s">
        <v>767</v>
      </c>
      <c r="D568" s="75">
        <v>953109212</v>
      </c>
      <c r="E568" s="76">
        <v>9191664940</v>
      </c>
      <c r="F568" s="42" t="s">
        <v>256</v>
      </c>
      <c r="G568" s="84">
        <v>40438</v>
      </c>
      <c r="H568" s="108" t="str">
        <f>CHOOSE(MONTH(G568),"January","February","March","April","May","June","July","August","September","October","November","December")</f>
        <v>September</v>
      </c>
      <c r="I568" s="54">
        <f ca="1">DATEDIF(G568,TODAY(),"Y")</f>
        <v>6</v>
      </c>
      <c r="J568" s="55" t="s">
        <v>267</v>
      </c>
      <c r="K568" s="56">
        <v>59150</v>
      </c>
      <c r="L568" s="57">
        <v>4</v>
      </c>
    </row>
    <row r="569" spans="1:12" ht="15" x14ac:dyDescent="0.25">
      <c r="A569" s="42" t="s">
        <v>500</v>
      </c>
      <c r="B569" s="49" t="s">
        <v>271</v>
      </c>
      <c r="C569" s="42" t="s">
        <v>767</v>
      </c>
      <c r="D569" s="75">
        <v>554029540</v>
      </c>
      <c r="E569" s="76">
        <v>2521544288</v>
      </c>
      <c r="F569" s="42" t="s">
        <v>247</v>
      </c>
      <c r="G569" s="84">
        <v>33234</v>
      </c>
      <c r="H569" s="108" t="str">
        <f>CHOOSE(MONTH(G569),"January","February","March","April","May","June","July","August","September","October","November","December")</f>
        <v>December</v>
      </c>
      <c r="I569" s="54">
        <f ca="1">DATEDIF(G569,TODAY(),"Y")</f>
        <v>25</v>
      </c>
      <c r="J569" s="55"/>
      <c r="K569" s="56">
        <v>58650</v>
      </c>
      <c r="L569" s="57">
        <v>4</v>
      </c>
    </row>
    <row r="570" spans="1:12" ht="15" x14ac:dyDescent="0.25">
      <c r="A570" s="42" t="s">
        <v>942</v>
      </c>
      <c r="B570" s="49" t="s">
        <v>280</v>
      </c>
      <c r="C570" s="42" t="s">
        <v>767</v>
      </c>
      <c r="D570" s="75">
        <v>451159170</v>
      </c>
      <c r="E570" s="76">
        <v>2522604602</v>
      </c>
      <c r="F570" s="42" t="s">
        <v>261</v>
      </c>
      <c r="G570" s="84">
        <v>35826</v>
      </c>
      <c r="H570" s="108" t="str">
        <f>CHOOSE(MONTH(G570),"January","February","March","April","May","June","July","August","September","October","November","December")</f>
        <v>January</v>
      </c>
      <c r="I570" s="54">
        <f ca="1">DATEDIF(G570,TODAY(),"Y")</f>
        <v>18</v>
      </c>
      <c r="J570" s="55" t="s">
        <v>257</v>
      </c>
      <c r="K570" s="56">
        <v>31205</v>
      </c>
      <c r="L570" s="57">
        <v>2</v>
      </c>
    </row>
    <row r="571" spans="1:12" ht="15" x14ac:dyDescent="0.25">
      <c r="A571" s="42" t="s">
        <v>980</v>
      </c>
      <c r="B571" s="49" t="s">
        <v>271</v>
      </c>
      <c r="C571" s="42" t="s">
        <v>767</v>
      </c>
      <c r="D571" s="75">
        <v>548283920</v>
      </c>
      <c r="E571" s="76">
        <v>2524160215</v>
      </c>
      <c r="F571" s="42" t="s">
        <v>247</v>
      </c>
      <c r="G571" s="84">
        <v>36297</v>
      </c>
      <c r="H571" s="108" t="str">
        <f>CHOOSE(MONTH(G571),"January","February","March","April","May","June","July","August","September","October","November","December")</f>
        <v>May</v>
      </c>
      <c r="I571" s="54">
        <f ca="1">DATEDIF(G571,TODAY(),"Y")</f>
        <v>17</v>
      </c>
      <c r="J571" s="55"/>
      <c r="K571" s="56">
        <v>57990</v>
      </c>
      <c r="L571" s="57">
        <v>5</v>
      </c>
    </row>
    <row r="572" spans="1:12" ht="15" x14ac:dyDescent="0.25">
      <c r="A572" s="42" t="s">
        <v>944</v>
      </c>
      <c r="B572" s="49" t="s">
        <v>245</v>
      </c>
      <c r="C572" s="42" t="s">
        <v>767</v>
      </c>
      <c r="D572" s="75">
        <v>502200672</v>
      </c>
      <c r="E572" s="76">
        <v>2527925201</v>
      </c>
      <c r="F572" s="42" t="s">
        <v>247</v>
      </c>
      <c r="G572" s="106">
        <v>40410</v>
      </c>
      <c r="H572" s="108" t="str">
        <f>CHOOSE(MONTH(G572),"January","February","March","April","May","June","July","August","September","October","November","December")</f>
        <v>August</v>
      </c>
      <c r="I572" s="54">
        <f ca="1">DATEDIF(G572,TODAY(),"Y")</f>
        <v>6</v>
      </c>
      <c r="J572" s="55"/>
      <c r="K572" s="56">
        <v>57680</v>
      </c>
      <c r="L572" s="57">
        <v>4</v>
      </c>
    </row>
    <row r="573" spans="1:12" ht="15" x14ac:dyDescent="0.25">
      <c r="A573" s="42" t="s">
        <v>868</v>
      </c>
      <c r="B573" s="49" t="s">
        <v>285</v>
      </c>
      <c r="C573" s="42" t="s">
        <v>767</v>
      </c>
      <c r="D573" s="75">
        <v>349174221</v>
      </c>
      <c r="E573" s="76">
        <v>2521220758</v>
      </c>
      <c r="F573" s="42" t="s">
        <v>261</v>
      </c>
      <c r="G573" s="84">
        <v>36084</v>
      </c>
      <c r="H573" s="108" t="str">
        <f>CHOOSE(MONTH(G573),"January","February","March","April","May","June","July","August","September","October","November","December")</f>
        <v>October</v>
      </c>
      <c r="I573" s="54">
        <f ca="1">DATEDIF(G573,TODAY(),"Y")</f>
        <v>18</v>
      </c>
      <c r="J573" s="55" t="s">
        <v>262</v>
      </c>
      <c r="K573" s="56">
        <v>45750</v>
      </c>
      <c r="L573" s="57">
        <v>5</v>
      </c>
    </row>
    <row r="574" spans="1:12" ht="15" x14ac:dyDescent="0.25">
      <c r="A574" s="42" t="s">
        <v>699</v>
      </c>
      <c r="B574" s="49" t="s">
        <v>271</v>
      </c>
      <c r="C574" s="42" t="s">
        <v>767</v>
      </c>
      <c r="D574" s="75">
        <v>358017400</v>
      </c>
      <c r="E574" s="76">
        <v>2523265407</v>
      </c>
      <c r="F574" s="42" t="s">
        <v>252</v>
      </c>
      <c r="G574" s="84">
        <v>36380</v>
      </c>
      <c r="H574" s="108" t="str">
        <f>CHOOSE(MONTH(G574),"January","February","March","April","May","June","July","August","September","October","November","December")</f>
        <v>August</v>
      </c>
      <c r="I574" s="54">
        <f ca="1">DATEDIF(G574,TODAY(),"Y")</f>
        <v>17</v>
      </c>
      <c r="J574" s="55"/>
      <c r="K574" s="56">
        <v>36052</v>
      </c>
      <c r="L574" s="57">
        <v>5</v>
      </c>
    </row>
    <row r="575" spans="1:12" ht="15" x14ac:dyDescent="0.25">
      <c r="A575" s="42" t="s">
        <v>905</v>
      </c>
      <c r="B575" s="49" t="s">
        <v>271</v>
      </c>
      <c r="C575" s="42" t="s">
        <v>767</v>
      </c>
      <c r="D575" s="75">
        <v>336025451</v>
      </c>
      <c r="E575" s="76">
        <v>2522344526</v>
      </c>
      <c r="F575" s="42" t="s">
        <v>247</v>
      </c>
      <c r="G575" s="84">
        <v>34478</v>
      </c>
      <c r="H575" s="108" t="str">
        <f>CHOOSE(MONTH(G575),"January","February","March","April","May","June","July","August","September","October","November","December")</f>
        <v>May</v>
      </c>
      <c r="I575" s="54">
        <f ca="1">DATEDIF(G575,TODAY(),"Y")</f>
        <v>22</v>
      </c>
      <c r="J575" s="55"/>
      <c r="K575" s="56">
        <v>56650</v>
      </c>
      <c r="L575" s="57">
        <v>1</v>
      </c>
    </row>
    <row r="576" spans="1:12" ht="15" x14ac:dyDescent="0.25">
      <c r="A576" s="42" t="s">
        <v>310</v>
      </c>
      <c r="B576" s="49" t="s">
        <v>266</v>
      </c>
      <c r="C576" s="42" t="s">
        <v>767</v>
      </c>
      <c r="D576" s="75">
        <v>437460422</v>
      </c>
      <c r="E576" s="76">
        <v>2528439277</v>
      </c>
      <c r="F576" s="42" t="s">
        <v>261</v>
      </c>
      <c r="G576" s="84">
        <v>38723</v>
      </c>
      <c r="H576" s="108" t="str">
        <f>CHOOSE(MONTH(G576),"January","February","March","April","May","June","July","August","September","October","November","December")</f>
        <v>January</v>
      </c>
      <c r="I576" s="54">
        <f ca="1">DATEDIF(G576,TODAY(),"Y")</f>
        <v>10</v>
      </c>
      <c r="J576" s="55" t="s">
        <v>283</v>
      </c>
      <c r="K576" s="56">
        <v>10630</v>
      </c>
      <c r="L576" s="57">
        <v>3</v>
      </c>
    </row>
    <row r="577" spans="1:12" ht="15" x14ac:dyDescent="0.25">
      <c r="A577" s="42" t="s">
        <v>689</v>
      </c>
      <c r="B577" s="49" t="s">
        <v>271</v>
      </c>
      <c r="C577" s="42" t="s">
        <v>767</v>
      </c>
      <c r="D577" s="75">
        <v>330879921</v>
      </c>
      <c r="E577" s="76">
        <v>9195691314</v>
      </c>
      <c r="F577" s="42" t="s">
        <v>256</v>
      </c>
      <c r="G577" s="84">
        <v>36088</v>
      </c>
      <c r="H577" s="108" t="str">
        <f>CHOOSE(MONTH(G577),"January","February","March","April","May","June","July","August","September","October","November","December")</f>
        <v>October</v>
      </c>
      <c r="I577" s="54">
        <f ca="1">DATEDIF(G577,TODAY(),"Y")</f>
        <v>18</v>
      </c>
      <c r="J577" s="55" t="s">
        <v>267</v>
      </c>
      <c r="K577" s="56">
        <v>54580</v>
      </c>
      <c r="L577" s="57">
        <v>4</v>
      </c>
    </row>
    <row r="578" spans="1:12" ht="15" x14ac:dyDescent="0.25">
      <c r="A578" s="42" t="s">
        <v>323</v>
      </c>
      <c r="B578" s="49" t="s">
        <v>271</v>
      </c>
      <c r="C578" s="42" t="s">
        <v>767</v>
      </c>
      <c r="D578" s="75">
        <v>561530671</v>
      </c>
      <c r="E578" s="76">
        <v>9192999652</v>
      </c>
      <c r="F578" s="42" t="s">
        <v>256</v>
      </c>
      <c r="G578" s="84">
        <v>33510</v>
      </c>
      <c r="H578" s="108" t="str">
        <f>CHOOSE(MONTH(G578),"January","February","March","April","May","June","July","August","September","October","November","December")</f>
        <v>September</v>
      </c>
      <c r="I578" s="54">
        <f ca="1">DATEDIF(G578,TODAY(),"Y")</f>
        <v>25</v>
      </c>
      <c r="J578" s="55" t="s">
        <v>262</v>
      </c>
      <c r="K578" s="56">
        <v>54500</v>
      </c>
      <c r="L578" s="57">
        <v>5</v>
      </c>
    </row>
    <row r="579" spans="1:12" ht="15" x14ac:dyDescent="0.25">
      <c r="A579" s="42" t="s">
        <v>342</v>
      </c>
      <c r="B579" s="49" t="s">
        <v>271</v>
      </c>
      <c r="C579" s="42" t="s">
        <v>767</v>
      </c>
      <c r="D579" s="75">
        <v>494754997</v>
      </c>
      <c r="E579" s="76">
        <v>9195617115</v>
      </c>
      <c r="F579" s="42" t="s">
        <v>247</v>
      </c>
      <c r="G579" s="84">
        <v>34726</v>
      </c>
      <c r="H579" s="108" t="str">
        <f>CHOOSE(MONTH(G579),"January","February","March","April","May","June","July","August","September","October","November","December")</f>
        <v>January</v>
      </c>
      <c r="I579" s="54">
        <f ca="1">DATEDIF(G579,TODAY(),"Y")</f>
        <v>21</v>
      </c>
      <c r="J579" s="55"/>
      <c r="K579" s="56">
        <v>33120</v>
      </c>
      <c r="L579" s="57">
        <v>2</v>
      </c>
    </row>
    <row r="580" spans="1:12" ht="15" x14ac:dyDescent="0.25">
      <c r="A580" s="42" t="s">
        <v>531</v>
      </c>
      <c r="B580" s="49" t="s">
        <v>271</v>
      </c>
      <c r="C580" s="42" t="s">
        <v>767</v>
      </c>
      <c r="D580" s="75">
        <v>959750235</v>
      </c>
      <c r="E580" s="76">
        <v>2528488350</v>
      </c>
      <c r="F580" s="42" t="s">
        <v>256</v>
      </c>
      <c r="G580" s="84">
        <v>40137</v>
      </c>
      <c r="H580" s="108" t="str">
        <f>CHOOSE(MONTH(G580),"January","February","March","April","May","June","July","August","September","October","November","December")</f>
        <v>November</v>
      </c>
      <c r="I580" s="54">
        <f ca="1">DATEDIF(G580,TODAY(),"Y")</f>
        <v>6</v>
      </c>
      <c r="J580" s="55" t="s">
        <v>257</v>
      </c>
      <c r="K580" s="56">
        <v>54190</v>
      </c>
      <c r="L580" s="57">
        <v>4</v>
      </c>
    </row>
    <row r="581" spans="1:12" ht="15" x14ac:dyDescent="0.25">
      <c r="A581" s="42" t="s">
        <v>575</v>
      </c>
      <c r="B581" s="49" t="s">
        <v>271</v>
      </c>
      <c r="C581" s="42" t="s">
        <v>767</v>
      </c>
      <c r="D581" s="75">
        <v>387131597</v>
      </c>
      <c r="E581" s="76">
        <v>9191963194</v>
      </c>
      <c r="F581" s="42" t="s">
        <v>247</v>
      </c>
      <c r="G581" s="84">
        <v>33515</v>
      </c>
      <c r="H581" s="108" t="str">
        <f>CHOOSE(MONTH(G581),"January","February","March","April","May","June","July","August","September","October","November","December")</f>
        <v>October</v>
      </c>
      <c r="I581" s="54">
        <f ca="1">DATEDIF(G581,TODAY(),"Y")</f>
        <v>25</v>
      </c>
      <c r="J581" s="55"/>
      <c r="K581" s="56">
        <v>52750</v>
      </c>
      <c r="L581" s="57">
        <v>1</v>
      </c>
    </row>
    <row r="582" spans="1:12" ht="15" x14ac:dyDescent="0.25">
      <c r="A582" s="42" t="s">
        <v>455</v>
      </c>
      <c r="B582" s="49" t="s">
        <v>245</v>
      </c>
      <c r="C582" s="42" t="s">
        <v>767</v>
      </c>
      <c r="D582" s="75">
        <v>151277827</v>
      </c>
      <c r="E582" s="76">
        <v>9197179128</v>
      </c>
      <c r="F582" s="42" t="s">
        <v>256</v>
      </c>
      <c r="G582" s="84">
        <v>39899</v>
      </c>
      <c r="H582" s="108" t="str">
        <f>CHOOSE(MONTH(G582),"January","February","March","April","May","June","July","August","September","October","November","December")</f>
        <v>March</v>
      </c>
      <c r="I582" s="54">
        <f ca="1">DATEDIF(G582,TODAY(),"Y")</f>
        <v>7</v>
      </c>
      <c r="J582" s="55" t="s">
        <v>257</v>
      </c>
      <c r="K582" s="56">
        <v>24790</v>
      </c>
      <c r="L582" s="57">
        <v>3</v>
      </c>
    </row>
    <row r="583" spans="1:12" ht="15" x14ac:dyDescent="0.25">
      <c r="A583" s="42" t="s">
        <v>367</v>
      </c>
      <c r="B583" s="49" t="s">
        <v>245</v>
      </c>
      <c r="C583" s="42" t="s">
        <v>767</v>
      </c>
      <c r="D583" s="75">
        <v>991221095</v>
      </c>
      <c r="E583" s="76">
        <v>9194630903</v>
      </c>
      <c r="F583" s="42" t="s">
        <v>256</v>
      </c>
      <c r="G583" s="84">
        <v>35151</v>
      </c>
      <c r="H583" s="108" t="str">
        <f>CHOOSE(MONTH(G583),"January","February","March","April","May","June","July","August","September","October","November","December")</f>
        <v>March</v>
      </c>
      <c r="I583" s="54">
        <f ca="1">DATEDIF(G583,TODAY(),"Y")</f>
        <v>20</v>
      </c>
      <c r="J583" s="55" t="s">
        <v>276</v>
      </c>
      <c r="K583" s="56">
        <v>29760</v>
      </c>
      <c r="L583" s="57">
        <v>2</v>
      </c>
    </row>
    <row r="584" spans="1:12" ht="15" x14ac:dyDescent="0.25">
      <c r="A584" s="42"/>
      <c r="B584" s="49"/>
      <c r="C584" s="114"/>
      <c r="D584" s="75"/>
      <c r="E584" s="76"/>
      <c r="F584" s="42"/>
      <c r="G584" s="84"/>
      <c r="H584" s="108"/>
      <c r="I584" s="54"/>
      <c r="J584" s="55"/>
      <c r="K584" s="56"/>
      <c r="L584" s="57"/>
    </row>
    <row r="585" spans="1:12" ht="15" x14ac:dyDescent="0.25">
      <c r="A585" s="42" t="s">
        <v>851</v>
      </c>
      <c r="B585" s="49" t="s">
        <v>251</v>
      </c>
      <c r="C585" s="42" t="s">
        <v>856</v>
      </c>
      <c r="D585" s="75">
        <v>265993407</v>
      </c>
      <c r="E585" s="76">
        <v>9193558443</v>
      </c>
      <c r="F585" s="42" t="s">
        <v>247</v>
      </c>
      <c r="G585" s="84">
        <v>33282</v>
      </c>
      <c r="H585" s="108" t="str">
        <f>CHOOSE(MONTH(G585),"January","February","March","April","May","June","July","August","September","October","November","December")</f>
        <v>February</v>
      </c>
      <c r="I585" s="54">
        <f ca="1">DATEDIF(G585,TODAY(),"Y")</f>
        <v>25</v>
      </c>
      <c r="J585" s="55"/>
      <c r="K585" s="56">
        <v>89450</v>
      </c>
      <c r="L585" s="57">
        <v>2</v>
      </c>
    </row>
    <row r="586" spans="1:12" ht="15" x14ac:dyDescent="0.25">
      <c r="A586" s="42" t="s">
        <v>935</v>
      </c>
      <c r="B586" s="49" t="s">
        <v>271</v>
      </c>
      <c r="C586" s="42" t="s">
        <v>856</v>
      </c>
      <c r="D586" s="75">
        <v>709234421</v>
      </c>
      <c r="E586" s="76">
        <v>2523838954</v>
      </c>
      <c r="F586" s="42" t="s">
        <v>256</v>
      </c>
      <c r="G586" s="84">
        <v>34754</v>
      </c>
      <c r="H586" s="108" t="str">
        <f>CHOOSE(MONTH(G586),"January","February","March","April","May","June","July","August","September","October","November","December")</f>
        <v>February</v>
      </c>
      <c r="I586" s="54">
        <f ca="1">DATEDIF(G586,TODAY(),"Y")</f>
        <v>21</v>
      </c>
      <c r="J586" s="55" t="s">
        <v>257</v>
      </c>
      <c r="K586" s="56">
        <v>39000</v>
      </c>
      <c r="L586" s="57">
        <v>5</v>
      </c>
    </row>
    <row r="587" spans="1:12" ht="15" x14ac:dyDescent="0.25">
      <c r="A587" s="42" t="s">
        <v>477</v>
      </c>
      <c r="B587" s="49" t="s">
        <v>271</v>
      </c>
      <c r="C587" s="42" t="s">
        <v>856</v>
      </c>
      <c r="D587" s="75">
        <v>718930584</v>
      </c>
      <c r="E587" s="76">
        <v>9195804771</v>
      </c>
      <c r="F587" s="42" t="s">
        <v>261</v>
      </c>
      <c r="G587" s="84">
        <v>36196</v>
      </c>
      <c r="H587" s="108" t="str">
        <f>CHOOSE(MONTH(G587),"January","February","March","April","May","June","July","August","September","October","November","December")</f>
        <v>February</v>
      </c>
      <c r="I587" s="54">
        <f ca="1">DATEDIF(G587,TODAY(),"Y")</f>
        <v>17</v>
      </c>
      <c r="J587" s="55" t="s">
        <v>257</v>
      </c>
      <c r="K587" s="56">
        <v>34980</v>
      </c>
      <c r="L587" s="57">
        <v>2</v>
      </c>
    </row>
    <row r="588" spans="1:12" ht="15" x14ac:dyDescent="0.25">
      <c r="A588" s="42" t="s">
        <v>379</v>
      </c>
      <c r="B588" s="49" t="s">
        <v>285</v>
      </c>
      <c r="C588" s="42" t="s">
        <v>856</v>
      </c>
      <c r="D588" s="75">
        <v>984881714</v>
      </c>
      <c r="E588" s="76">
        <v>9196973131</v>
      </c>
      <c r="F588" s="42" t="s">
        <v>256</v>
      </c>
      <c r="G588" s="84">
        <v>35408</v>
      </c>
      <c r="H588" s="108" t="str">
        <f>CHOOSE(MONTH(G588),"January","February","March","April","May","June","July","August","September","October","November","December")</f>
        <v>December</v>
      </c>
      <c r="I588" s="54">
        <f ca="1">DATEDIF(G588,TODAY(),"Y")</f>
        <v>19</v>
      </c>
      <c r="J588" s="55" t="s">
        <v>283</v>
      </c>
      <c r="K588" s="56">
        <v>34330</v>
      </c>
      <c r="L588" s="57">
        <v>3</v>
      </c>
    </row>
    <row r="589" spans="1:12" ht="15" x14ac:dyDescent="0.25">
      <c r="A589" s="42" t="s">
        <v>641</v>
      </c>
      <c r="B589" s="49" t="s">
        <v>271</v>
      </c>
      <c r="C589" s="42" t="s">
        <v>856</v>
      </c>
      <c r="D589" s="75">
        <v>627977314</v>
      </c>
      <c r="E589" s="76">
        <v>2521525844</v>
      </c>
      <c r="F589" s="42" t="s">
        <v>256</v>
      </c>
      <c r="G589" s="84">
        <v>33852</v>
      </c>
      <c r="H589" s="108" t="str">
        <f>CHOOSE(MONTH(G589),"January","February","March","April","May","June","July","August","September","October","November","December")</f>
        <v>September</v>
      </c>
      <c r="I589" s="54">
        <f ca="1">DATEDIF(G589,TODAY(),"Y")</f>
        <v>24</v>
      </c>
      <c r="J589" s="55" t="s">
        <v>276</v>
      </c>
      <c r="K589" s="56">
        <v>86240</v>
      </c>
      <c r="L589" s="57">
        <v>1</v>
      </c>
    </row>
    <row r="590" spans="1:12" ht="15" x14ac:dyDescent="0.25">
      <c r="A590" s="42" t="s">
        <v>334</v>
      </c>
      <c r="B590" s="49" t="s">
        <v>271</v>
      </c>
      <c r="C590" s="42" t="s">
        <v>856</v>
      </c>
      <c r="D590" s="75">
        <v>668708287</v>
      </c>
      <c r="E590" s="76">
        <v>9191952821</v>
      </c>
      <c r="F590" s="42" t="s">
        <v>247</v>
      </c>
      <c r="G590" s="84">
        <v>35806</v>
      </c>
      <c r="H590" s="108" t="str">
        <f>CHOOSE(MONTH(G590),"January","February","March","April","May","June","July","August","September","October","November","December")</f>
        <v>January</v>
      </c>
      <c r="I590" s="54">
        <f ca="1">DATEDIF(G590,TODAY(),"Y")</f>
        <v>18</v>
      </c>
      <c r="J590" s="55"/>
      <c r="K590" s="56">
        <v>86100</v>
      </c>
      <c r="L590" s="57">
        <v>4</v>
      </c>
    </row>
    <row r="591" spans="1:12" ht="15" x14ac:dyDescent="0.25">
      <c r="A591" s="42" t="s">
        <v>833</v>
      </c>
      <c r="B591" s="49" t="s">
        <v>285</v>
      </c>
      <c r="C591" s="42" t="s">
        <v>856</v>
      </c>
      <c r="D591" s="75">
        <v>983047016</v>
      </c>
      <c r="E591" s="76">
        <v>9198451642</v>
      </c>
      <c r="F591" s="42" t="s">
        <v>247</v>
      </c>
      <c r="G591" s="84">
        <v>38793</v>
      </c>
      <c r="H591" s="108" t="str">
        <f>CHOOSE(MONTH(G591),"January","February","March","April","May","June","July","August","September","October","November","December")</f>
        <v>March</v>
      </c>
      <c r="I591" s="54">
        <f ca="1">DATEDIF(G591,TODAY(),"Y")</f>
        <v>10</v>
      </c>
      <c r="J591" s="55"/>
      <c r="K591" s="56">
        <v>85930</v>
      </c>
      <c r="L591" s="57">
        <v>2</v>
      </c>
    </row>
    <row r="592" spans="1:12" ht="15" x14ac:dyDescent="0.25">
      <c r="A592" s="42" t="s">
        <v>597</v>
      </c>
      <c r="B592" s="49" t="s">
        <v>245</v>
      </c>
      <c r="C592" s="42" t="s">
        <v>856</v>
      </c>
      <c r="D592" s="75">
        <v>518009092</v>
      </c>
      <c r="E592" s="76">
        <v>2528792521</v>
      </c>
      <c r="F592" s="42" t="s">
        <v>252</v>
      </c>
      <c r="G592" s="84">
        <v>35869</v>
      </c>
      <c r="H592" s="108" t="str">
        <f>CHOOSE(MONTH(G592),"January","February","March","April","May","June","July","August","September","October","November","December")</f>
        <v>March</v>
      </c>
      <c r="I592" s="54">
        <f ca="1">DATEDIF(G592,TODAY(),"Y")</f>
        <v>18</v>
      </c>
      <c r="J592" s="55"/>
      <c r="K592" s="56">
        <v>17912</v>
      </c>
      <c r="L592" s="57">
        <v>5</v>
      </c>
    </row>
    <row r="593" spans="1:12" ht="15" x14ac:dyDescent="0.25">
      <c r="A593" s="42" t="s">
        <v>590</v>
      </c>
      <c r="B593" s="49" t="s">
        <v>266</v>
      </c>
      <c r="C593" s="42" t="s">
        <v>856</v>
      </c>
      <c r="D593" s="75">
        <v>889210902</v>
      </c>
      <c r="E593" s="76">
        <v>2527422559</v>
      </c>
      <c r="F593" s="42" t="s">
        <v>256</v>
      </c>
      <c r="G593" s="84">
        <v>36514</v>
      </c>
      <c r="H593" s="108" t="str">
        <f>CHOOSE(MONTH(G593),"January","February","March","April","May","June","July","August","September","October","November","December")</f>
        <v>December</v>
      </c>
      <c r="I593" s="54">
        <f ca="1">DATEDIF(G593,TODAY(),"Y")</f>
        <v>16</v>
      </c>
      <c r="J593" s="55" t="s">
        <v>283</v>
      </c>
      <c r="K593" s="56">
        <v>48250</v>
      </c>
      <c r="L593" s="57">
        <v>3</v>
      </c>
    </row>
    <row r="594" spans="1:12" ht="15" x14ac:dyDescent="0.25">
      <c r="A594" s="42" t="s">
        <v>1015</v>
      </c>
      <c r="B594" s="49" t="s">
        <v>280</v>
      </c>
      <c r="C594" s="42" t="s">
        <v>856</v>
      </c>
      <c r="D594" s="75">
        <v>666194498</v>
      </c>
      <c r="E594" s="76">
        <v>2526593848</v>
      </c>
      <c r="F594" s="42" t="s">
        <v>256</v>
      </c>
      <c r="G594" s="84">
        <v>38353</v>
      </c>
      <c r="H594" s="108" t="str">
        <f>CHOOSE(MONTH(G594),"January","February","March","April","May","June","July","August","September","October","November","December")</f>
        <v>January</v>
      </c>
      <c r="I594" s="54">
        <f ca="1">DATEDIF(G594,TODAY(),"Y")</f>
        <v>11</v>
      </c>
      <c r="J594" s="55" t="s">
        <v>283</v>
      </c>
      <c r="K594" s="56">
        <v>83710</v>
      </c>
      <c r="L594" s="57">
        <v>3</v>
      </c>
    </row>
    <row r="595" spans="1:12" ht="15" x14ac:dyDescent="0.25">
      <c r="A595" s="42" t="s">
        <v>907</v>
      </c>
      <c r="B595" s="49" t="s">
        <v>245</v>
      </c>
      <c r="C595" s="42" t="s">
        <v>856</v>
      </c>
      <c r="D595" s="75">
        <v>649292883</v>
      </c>
      <c r="E595" s="76">
        <v>9198413896</v>
      </c>
      <c r="F595" s="42" t="s">
        <v>256</v>
      </c>
      <c r="G595" s="84">
        <v>38237</v>
      </c>
      <c r="H595" s="108" t="str">
        <f>CHOOSE(MONTH(G595),"January","February","March","April","May","June","July","August","September","October","November","December")</f>
        <v>September</v>
      </c>
      <c r="I595" s="54">
        <f ca="1">DATEDIF(G595,TODAY(),"Y")</f>
        <v>12</v>
      </c>
      <c r="J595" s="55" t="s">
        <v>283</v>
      </c>
      <c r="K595" s="56">
        <v>31910</v>
      </c>
      <c r="L595" s="57">
        <v>5</v>
      </c>
    </row>
    <row r="596" spans="1:12" ht="15" x14ac:dyDescent="0.25">
      <c r="A596" s="42" t="s">
        <v>872</v>
      </c>
      <c r="B596" s="49" t="s">
        <v>285</v>
      </c>
      <c r="C596" s="42" t="s">
        <v>856</v>
      </c>
      <c r="D596" s="75">
        <v>744830329</v>
      </c>
      <c r="E596" s="76">
        <v>9196098293</v>
      </c>
      <c r="F596" s="42" t="s">
        <v>256</v>
      </c>
      <c r="G596" s="84">
        <v>34800</v>
      </c>
      <c r="H596" s="108" t="str">
        <f>CHOOSE(MONTH(G596),"January","February","March","April","May","June","July","August","September","October","November","December")</f>
        <v>April</v>
      </c>
      <c r="I596" s="54">
        <f ca="1">DATEDIF(G596,TODAY(),"Y")</f>
        <v>21</v>
      </c>
      <c r="J596" s="55" t="s">
        <v>262</v>
      </c>
      <c r="K596" s="56">
        <v>82700</v>
      </c>
      <c r="L596" s="57">
        <v>3</v>
      </c>
    </row>
    <row r="597" spans="1:12" ht="15" x14ac:dyDescent="0.25">
      <c r="A597" s="42" t="s">
        <v>1007</v>
      </c>
      <c r="B597" s="49" t="s">
        <v>266</v>
      </c>
      <c r="C597" s="42" t="s">
        <v>856</v>
      </c>
      <c r="D597" s="75">
        <v>313648228</v>
      </c>
      <c r="E597" s="76">
        <v>2524998145</v>
      </c>
      <c r="F597" s="42" t="s">
        <v>256</v>
      </c>
      <c r="G597" s="84">
        <v>37625</v>
      </c>
      <c r="H597" s="108" t="str">
        <f>CHOOSE(MONTH(G597),"January","February","March","April","May","June","July","August","September","October","November","December")</f>
        <v>January</v>
      </c>
      <c r="I597" s="54">
        <f ca="1">DATEDIF(G597,TODAY(),"Y")</f>
        <v>13</v>
      </c>
      <c r="J597" s="55" t="s">
        <v>283</v>
      </c>
      <c r="K597" s="56">
        <v>82490</v>
      </c>
      <c r="L597" s="57">
        <v>5</v>
      </c>
    </row>
    <row r="598" spans="1:12" ht="15" x14ac:dyDescent="0.25">
      <c r="A598" s="42" t="s">
        <v>568</v>
      </c>
      <c r="B598" s="49" t="s">
        <v>271</v>
      </c>
      <c r="C598" s="42" t="s">
        <v>856</v>
      </c>
      <c r="D598" s="75">
        <v>304024314</v>
      </c>
      <c r="E598" s="76">
        <v>9192244880</v>
      </c>
      <c r="F598" s="42" t="s">
        <v>247</v>
      </c>
      <c r="G598" s="84">
        <v>33421</v>
      </c>
      <c r="H598" s="108" t="str">
        <f>CHOOSE(MONTH(G598),"January","February","March","April","May","June","July","August","September","October","November","December")</f>
        <v>July</v>
      </c>
      <c r="I598" s="54">
        <f ca="1">DATEDIF(G598,TODAY(),"Y")</f>
        <v>25</v>
      </c>
      <c r="J598" s="55"/>
      <c r="K598" s="56">
        <v>46650</v>
      </c>
      <c r="L598" s="57">
        <v>2</v>
      </c>
    </row>
    <row r="599" spans="1:12" ht="15" x14ac:dyDescent="0.25">
      <c r="A599" s="42" t="s">
        <v>639</v>
      </c>
      <c r="B599" s="49" t="s">
        <v>271</v>
      </c>
      <c r="C599" s="42" t="s">
        <v>856</v>
      </c>
      <c r="D599" s="75">
        <v>843632637</v>
      </c>
      <c r="E599" s="76">
        <v>9198545681</v>
      </c>
      <c r="F599" s="42" t="s">
        <v>252</v>
      </c>
      <c r="G599" s="84">
        <v>35861</v>
      </c>
      <c r="H599" s="108" t="str">
        <f>CHOOSE(MONTH(G599),"January","February","March","April","May","June","July","August","September","October","November","December")</f>
        <v>March</v>
      </c>
      <c r="I599" s="54">
        <f ca="1">DATEDIF(G599,TODAY(),"Y")</f>
        <v>18</v>
      </c>
      <c r="J599" s="55"/>
      <c r="K599" s="56">
        <v>12836</v>
      </c>
      <c r="L599" s="57">
        <v>5</v>
      </c>
    </row>
    <row r="600" spans="1:12" ht="15" x14ac:dyDescent="0.25">
      <c r="A600" s="42" t="s">
        <v>306</v>
      </c>
      <c r="B600" s="49" t="s">
        <v>271</v>
      </c>
      <c r="C600" s="42" t="s">
        <v>856</v>
      </c>
      <c r="D600" s="75">
        <v>102159909</v>
      </c>
      <c r="E600" s="76">
        <v>2521868104</v>
      </c>
      <c r="F600" s="42" t="s">
        <v>252</v>
      </c>
      <c r="G600" s="84">
        <v>34345</v>
      </c>
      <c r="H600" s="108" t="str">
        <f>CHOOSE(MONTH(G600),"January","February","March","April","May","June","July","August","September","October","November","December")</f>
        <v>January</v>
      </c>
      <c r="I600" s="54">
        <f ca="1">DATEDIF(G600,TODAY(),"Y")</f>
        <v>22</v>
      </c>
      <c r="J600" s="55"/>
      <c r="K600" s="56">
        <v>36788</v>
      </c>
      <c r="L600" s="57">
        <v>4</v>
      </c>
    </row>
    <row r="601" spans="1:12" ht="15" x14ac:dyDescent="0.25">
      <c r="A601" s="42" t="s">
        <v>390</v>
      </c>
      <c r="B601" s="49" t="s">
        <v>285</v>
      </c>
      <c r="C601" s="42" t="s">
        <v>856</v>
      </c>
      <c r="D601" s="75">
        <v>323701315</v>
      </c>
      <c r="E601" s="76">
        <v>9194479196</v>
      </c>
      <c r="F601" s="42" t="s">
        <v>256</v>
      </c>
      <c r="G601" s="84">
        <v>40581</v>
      </c>
      <c r="H601" s="108" t="str">
        <f>CHOOSE(MONTH(G601),"January","February","March","April","May","June","July","August","September","October","November","December")</f>
        <v>February</v>
      </c>
      <c r="I601" s="54">
        <f ca="1">DATEDIF(G601,TODAY(),"Y")</f>
        <v>5</v>
      </c>
      <c r="J601" s="55" t="s">
        <v>267</v>
      </c>
      <c r="K601" s="56">
        <v>80260</v>
      </c>
      <c r="L601" s="57">
        <v>3</v>
      </c>
    </row>
    <row r="602" spans="1:12" ht="15" x14ac:dyDescent="0.25">
      <c r="A602" s="42" t="s">
        <v>745</v>
      </c>
      <c r="B602" s="49" t="s">
        <v>280</v>
      </c>
      <c r="C602" s="42" t="s">
        <v>856</v>
      </c>
      <c r="D602" s="75">
        <v>491830893</v>
      </c>
      <c r="E602" s="76">
        <v>2524713634</v>
      </c>
      <c r="F602" s="42" t="s">
        <v>256</v>
      </c>
      <c r="G602" s="84">
        <v>40078</v>
      </c>
      <c r="H602" s="108" t="str">
        <f>CHOOSE(MONTH(G602),"January","February","March","April","May","June","July","August","September","October","November","December")</f>
        <v>September</v>
      </c>
      <c r="I602" s="54">
        <f ca="1">DATEDIF(G602,TODAY(),"Y")</f>
        <v>7</v>
      </c>
      <c r="J602" s="55" t="s">
        <v>283</v>
      </c>
      <c r="K602" s="56">
        <v>23190</v>
      </c>
      <c r="L602" s="57">
        <v>5</v>
      </c>
    </row>
    <row r="603" spans="1:12" ht="15" x14ac:dyDescent="0.25">
      <c r="A603" s="42" t="s">
        <v>803</v>
      </c>
      <c r="B603" s="49" t="s">
        <v>271</v>
      </c>
      <c r="C603" s="42" t="s">
        <v>856</v>
      </c>
      <c r="D603" s="75">
        <v>180832423</v>
      </c>
      <c r="E603" s="76">
        <v>9198097539</v>
      </c>
      <c r="F603" s="42" t="s">
        <v>256</v>
      </c>
      <c r="G603" s="84">
        <v>36078</v>
      </c>
      <c r="H603" s="108" t="str">
        <f>CHOOSE(MONTH(G603),"January","February","March","April","May","June","July","August","September","October","November","December")</f>
        <v>October</v>
      </c>
      <c r="I603" s="54">
        <f ca="1">DATEDIF(G603,TODAY(),"Y")</f>
        <v>18</v>
      </c>
      <c r="J603" s="55" t="s">
        <v>276</v>
      </c>
      <c r="K603" s="56">
        <v>79610</v>
      </c>
      <c r="L603" s="57">
        <v>2</v>
      </c>
    </row>
    <row r="604" spans="1:12" ht="15" x14ac:dyDescent="0.25">
      <c r="A604" s="42" t="s">
        <v>332</v>
      </c>
      <c r="B604" s="49" t="s">
        <v>266</v>
      </c>
      <c r="C604" s="42" t="s">
        <v>856</v>
      </c>
      <c r="D604" s="75">
        <v>687623890</v>
      </c>
      <c r="E604" s="76">
        <v>2522447501</v>
      </c>
      <c r="F604" s="42" t="s">
        <v>252</v>
      </c>
      <c r="G604" s="84">
        <v>35034</v>
      </c>
      <c r="H604" s="108" t="str">
        <f>CHOOSE(MONTH(G604),"January","February","March","April","May","June","July","August","September","October","November","December")</f>
        <v>December</v>
      </c>
      <c r="I604" s="54">
        <f ca="1">DATEDIF(G604,TODAY(),"Y")</f>
        <v>20</v>
      </c>
      <c r="J604" s="55"/>
      <c r="K604" s="56">
        <v>23692</v>
      </c>
      <c r="L604" s="57">
        <v>4</v>
      </c>
    </row>
    <row r="605" spans="1:12" ht="15" x14ac:dyDescent="0.25">
      <c r="A605" s="42" t="s">
        <v>848</v>
      </c>
      <c r="B605" s="49" t="s">
        <v>271</v>
      </c>
      <c r="C605" s="42" t="s">
        <v>856</v>
      </c>
      <c r="D605" s="75">
        <v>644489557</v>
      </c>
      <c r="E605" s="76">
        <v>2526532463</v>
      </c>
      <c r="F605" s="42" t="s">
        <v>256</v>
      </c>
      <c r="G605" s="84">
        <v>36012</v>
      </c>
      <c r="H605" s="108" t="str">
        <f>CHOOSE(MONTH(G605),"January","February","March","April","May","June","July","August","September","October","November","December")</f>
        <v>August</v>
      </c>
      <c r="I605" s="54">
        <f ca="1">DATEDIF(G605,TODAY(),"Y")</f>
        <v>18</v>
      </c>
      <c r="J605" s="55" t="s">
        <v>262</v>
      </c>
      <c r="K605" s="56">
        <v>78950</v>
      </c>
      <c r="L605" s="57">
        <v>1</v>
      </c>
    </row>
    <row r="606" spans="1:12" ht="15" x14ac:dyDescent="0.25">
      <c r="A606" s="42" t="s">
        <v>865</v>
      </c>
      <c r="B606" s="49" t="s">
        <v>285</v>
      </c>
      <c r="C606" s="42" t="s">
        <v>856</v>
      </c>
      <c r="D606" s="75">
        <v>110726520</v>
      </c>
      <c r="E606" s="76">
        <v>9197963782</v>
      </c>
      <c r="F606" s="42" t="s">
        <v>256</v>
      </c>
      <c r="G606" s="84">
        <v>35497</v>
      </c>
      <c r="H606" s="108" t="str">
        <f>CHOOSE(MONTH(G606),"January","February","March","April","May","June","July","August","September","October","November","December")</f>
        <v>March</v>
      </c>
      <c r="I606" s="54">
        <f ca="1">DATEDIF(G606,TODAY(),"Y")</f>
        <v>19</v>
      </c>
      <c r="J606" s="55" t="s">
        <v>257</v>
      </c>
      <c r="K606" s="56">
        <v>78710</v>
      </c>
      <c r="L606" s="57">
        <v>4</v>
      </c>
    </row>
    <row r="607" spans="1:12" ht="15" x14ac:dyDescent="0.25">
      <c r="A607" s="42" t="s">
        <v>491</v>
      </c>
      <c r="B607" s="49" t="s">
        <v>271</v>
      </c>
      <c r="C607" s="42" t="s">
        <v>856</v>
      </c>
      <c r="D607" s="75">
        <v>975857784</v>
      </c>
      <c r="E607" s="76">
        <v>9192390604</v>
      </c>
      <c r="F607" s="42" t="s">
        <v>247</v>
      </c>
      <c r="G607" s="84">
        <v>36642</v>
      </c>
      <c r="H607" s="108" t="str">
        <f>CHOOSE(MONTH(G607),"January","February","March","April","May","June","July","August","September","October","November","December")</f>
        <v>April</v>
      </c>
      <c r="I607" s="54">
        <f ca="1">DATEDIF(G607,TODAY(),"Y")</f>
        <v>16</v>
      </c>
      <c r="J607" s="55"/>
      <c r="K607" s="56">
        <v>77760</v>
      </c>
      <c r="L607" s="57">
        <v>3</v>
      </c>
    </row>
    <row r="608" spans="1:12" ht="15" x14ac:dyDescent="0.25">
      <c r="A608" s="42" t="s">
        <v>348</v>
      </c>
      <c r="B608" s="49" t="s">
        <v>271</v>
      </c>
      <c r="C608" s="42" t="s">
        <v>856</v>
      </c>
      <c r="D608" s="75">
        <v>863736129</v>
      </c>
      <c r="E608" s="76">
        <v>2522778445</v>
      </c>
      <c r="F608" s="42" t="s">
        <v>261</v>
      </c>
      <c r="G608" s="84">
        <v>35688</v>
      </c>
      <c r="H608" s="108" t="str">
        <f>CHOOSE(MONTH(G608),"January","February","March","April","May","June","July","August","September","October","November","December")</f>
        <v>September</v>
      </c>
      <c r="I608" s="54">
        <f ca="1">DATEDIF(G608,TODAY(),"Y")</f>
        <v>19</v>
      </c>
      <c r="J608" s="55" t="s">
        <v>283</v>
      </c>
      <c r="K608" s="56">
        <v>42740</v>
      </c>
      <c r="L608" s="57">
        <v>2</v>
      </c>
    </row>
    <row r="609" spans="1:12" ht="15" x14ac:dyDescent="0.25">
      <c r="A609" s="42" t="s">
        <v>512</v>
      </c>
      <c r="B609" s="49" t="s">
        <v>285</v>
      </c>
      <c r="C609" s="42" t="s">
        <v>856</v>
      </c>
      <c r="D609" s="75">
        <v>489667166</v>
      </c>
      <c r="E609" s="76">
        <v>2522238881</v>
      </c>
      <c r="F609" s="42" t="s">
        <v>256</v>
      </c>
      <c r="G609" s="84">
        <v>36407</v>
      </c>
      <c r="H609" s="108" t="str">
        <f>CHOOSE(MONTH(G609),"January","February","March","April","May","June","July","August","September","October","November","December")</f>
        <v>September</v>
      </c>
      <c r="I609" s="54">
        <f ca="1">DATEDIF(G609,TODAY(),"Y")</f>
        <v>17</v>
      </c>
      <c r="J609" s="55" t="s">
        <v>262</v>
      </c>
      <c r="K609" s="56">
        <v>45880</v>
      </c>
      <c r="L609" s="57">
        <v>5</v>
      </c>
    </row>
    <row r="610" spans="1:12" ht="15" x14ac:dyDescent="0.25">
      <c r="A610" s="42" t="s">
        <v>945</v>
      </c>
      <c r="B610" s="49" t="s">
        <v>285</v>
      </c>
      <c r="C610" s="42" t="s">
        <v>856</v>
      </c>
      <c r="D610" s="75">
        <v>337411408</v>
      </c>
      <c r="E610" s="76">
        <v>9194729409</v>
      </c>
      <c r="F610" s="42" t="s">
        <v>256</v>
      </c>
      <c r="G610" s="84">
        <v>36526</v>
      </c>
      <c r="H610" s="108" t="str">
        <f>CHOOSE(MONTH(G610),"January","February","March","April","May","June","July","August","September","October","November","December")</f>
        <v>January</v>
      </c>
      <c r="I610" s="54">
        <f ca="1">DATEDIF(G610,TODAY(),"Y")</f>
        <v>16</v>
      </c>
      <c r="J610" s="55" t="s">
        <v>257</v>
      </c>
      <c r="K610" s="56">
        <v>29260</v>
      </c>
      <c r="L610" s="57">
        <v>4</v>
      </c>
    </row>
    <row r="611" spans="1:12" ht="15" x14ac:dyDescent="0.25">
      <c r="A611" s="42" t="s">
        <v>943</v>
      </c>
      <c r="B611" s="49" t="s">
        <v>285</v>
      </c>
      <c r="C611" s="42" t="s">
        <v>856</v>
      </c>
      <c r="D611" s="75">
        <v>826508763</v>
      </c>
      <c r="E611" s="76">
        <v>2526801348</v>
      </c>
      <c r="F611" s="42" t="s">
        <v>256</v>
      </c>
      <c r="G611" s="84">
        <v>39745</v>
      </c>
      <c r="H611" s="108" t="str">
        <f>CHOOSE(MONTH(G611),"January","February","March","April","May","June","July","August","September","October","November","December")</f>
        <v>October</v>
      </c>
      <c r="I611" s="54">
        <f ca="1">DATEDIF(G611,TODAY(),"Y")</f>
        <v>8</v>
      </c>
      <c r="J611" s="55" t="s">
        <v>283</v>
      </c>
      <c r="K611" s="56">
        <v>29330</v>
      </c>
      <c r="L611" s="57">
        <v>5</v>
      </c>
    </row>
    <row r="612" spans="1:12" ht="15" x14ac:dyDescent="0.25">
      <c r="A612" s="42" t="s">
        <v>835</v>
      </c>
      <c r="B612" s="49" t="s">
        <v>245</v>
      </c>
      <c r="C612" s="42" t="s">
        <v>856</v>
      </c>
      <c r="D612" s="75">
        <v>352371400</v>
      </c>
      <c r="E612" s="81">
        <v>2525441252</v>
      </c>
      <c r="F612" s="42" t="s">
        <v>252</v>
      </c>
      <c r="G612" s="84">
        <v>33256</v>
      </c>
      <c r="H612" s="108" t="str">
        <f>CHOOSE(MONTH(G612),"January","February","March","April","May","June","July","August","September","October","November","December")</f>
        <v>January</v>
      </c>
      <c r="I612" s="54">
        <f ca="1">DATEDIF(G612,TODAY(),"Y")</f>
        <v>25</v>
      </c>
      <c r="J612" s="55"/>
      <c r="K612" s="56">
        <v>30468</v>
      </c>
      <c r="L612" s="57">
        <v>2</v>
      </c>
    </row>
    <row r="613" spans="1:12" ht="15" x14ac:dyDescent="0.25">
      <c r="A613" s="42" t="s">
        <v>318</v>
      </c>
      <c r="B613" s="49" t="s">
        <v>285</v>
      </c>
      <c r="C613" s="42" t="s">
        <v>856</v>
      </c>
      <c r="D613" s="75">
        <v>647131956</v>
      </c>
      <c r="E613" s="76">
        <v>2521240785</v>
      </c>
      <c r="F613" s="42" t="s">
        <v>256</v>
      </c>
      <c r="G613" s="84">
        <v>38902</v>
      </c>
      <c r="H613" s="108" t="str">
        <f>CHOOSE(MONTH(G613),"January","February","March","April","May","June","July","August","September","October","November","December")</f>
        <v>July</v>
      </c>
      <c r="I613" s="54">
        <f ca="1">DATEDIF(G613,TODAY(),"Y")</f>
        <v>10</v>
      </c>
      <c r="J613" s="55" t="s">
        <v>257</v>
      </c>
      <c r="K613" s="56">
        <v>73560</v>
      </c>
      <c r="L613" s="57">
        <v>3</v>
      </c>
    </row>
    <row r="614" spans="1:12" ht="15" x14ac:dyDescent="0.25">
      <c r="A614" s="42" t="s">
        <v>648</v>
      </c>
      <c r="B614" s="49" t="s">
        <v>271</v>
      </c>
      <c r="C614" s="42" t="s">
        <v>856</v>
      </c>
      <c r="D614" s="75">
        <v>750581894</v>
      </c>
      <c r="E614" s="76">
        <v>2528433766</v>
      </c>
      <c r="F614" s="42" t="s">
        <v>247</v>
      </c>
      <c r="G614" s="84">
        <v>40350</v>
      </c>
      <c r="H614" s="108" t="str">
        <f>CHOOSE(MONTH(G614),"January","February","March","April","May","June","July","August","September","October","November","December")</f>
        <v>June</v>
      </c>
      <c r="I614" s="54">
        <f ca="1">DATEDIF(G614,TODAY(),"Y")</f>
        <v>6</v>
      </c>
      <c r="J614" s="55"/>
      <c r="K614" s="56">
        <v>21580</v>
      </c>
      <c r="L614" s="57">
        <v>3</v>
      </c>
    </row>
    <row r="615" spans="1:12" ht="15" x14ac:dyDescent="0.25">
      <c r="A615" s="42" t="s">
        <v>873</v>
      </c>
      <c r="B615" s="49" t="s">
        <v>245</v>
      </c>
      <c r="C615" s="42" t="s">
        <v>856</v>
      </c>
      <c r="D615" s="75">
        <v>357568979</v>
      </c>
      <c r="E615" s="76">
        <v>2524316324</v>
      </c>
      <c r="F615" s="42" t="s">
        <v>261</v>
      </c>
      <c r="G615" s="84">
        <v>37775</v>
      </c>
      <c r="H615" s="108" t="str">
        <f>CHOOSE(MONTH(G615),"January","February","March","April","May","June","July","August","September","October","November","December")</f>
        <v>June</v>
      </c>
      <c r="I615" s="54">
        <f ca="1">DATEDIF(G615,TODAY(),"Y")</f>
        <v>13</v>
      </c>
      <c r="J615" s="55" t="s">
        <v>262</v>
      </c>
      <c r="K615" s="56">
        <v>28525</v>
      </c>
      <c r="L615" s="57">
        <v>4</v>
      </c>
    </row>
    <row r="616" spans="1:12" ht="15" x14ac:dyDescent="0.25">
      <c r="A616" s="42" t="s">
        <v>853</v>
      </c>
      <c r="B616" s="49" t="s">
        <v>245</v>
      </c>
      <c r="C616" s="42" t="s">
        <v>856</v>
      </c>
      <c r="D616" s="75">
        <v>855135948</v>
      </c>
      <c r="E616" s="76">
        <v>9196408497</v>
      </c>
      <c r="F616" s="42" t="s">
        <v>256</v>
      </c>
      <c r="G616" s="84">
        <v>39815</v>
      </c>
      <c r="H616" s="108" t="str">
        <f>CHOOSE(MONTH(G616),"January","February","March","April","May","June","July","August","September","October","November","December")</f>
        <v>January</v>
      </c>
      <c r="I616" s="54">
        <f ca="1">DATEDIF(G616,TODAY(),"Y")</f>
        <v>7</v>
      </c>
      <c r="J616" s="55" t="s">
        <v>283</v>
      </c>
      <c r="K616" s="56">
        <v>72060</v>
      </c>
      <c r="L616" s="57">
        <v>2</v>
      </c>
    </row>
    <row r="617" spans="1:12" ht="15" x14ac:dyDescent="0.25">
      <c r="A617" s="42" t="s">
        <v>704</v>
      </c>
      <c r="B617" s="49" t="s">
        <v>271</v>
      </c>
      <c r="C617" s="42" t="s">
        <v>856</v>
      </c>
      <c r="D617" s="75">
        <v>412159105</v>
      </c>
      <c r="E617" s="76">
        <v>9198252392</v>
      </c>
      <c r="F617" s="42" t="s">
        <v>252</v>
      </c>
      <c r="G617" s="84">
        <v>35402</v>
      </c>
      <c r="H617" s="108" t="str">
        <f>CHOOSE(MONTH(G617),"January","February","March","April","May","June","July","August","September","October","November","December")</f>
        <v>December</v>
      </c>
      <c r="I617" s="54">
        <f ca="1">DATEDIF(G617,TODAY(),"Y")</f>
        <v>19</v>
      </c>
      <c r="J617" s="55"/>
      <c r="K617" s="56">
        <v>33508</v>
      </c>
      <c r="L617" s="57">
        <v>4</v>
      </c>
    </row>
    <row r="618" spans="1:12" ht="15" x14ac:dyDescent="0.25">
      <c r="A618" s="42" t="s">
        <v>288</v>
      </c>
      <c r="B618" s="49" t="s">
        <v>285</v>
      </c>
      <c r="C618" s="42" t="s">
        <v>856</v>
      </c>
      <c r="D618" s="75">
        <v>932553359</v>
      </c>
      <c r="E618" s="76">
        <v>9192376215</v>
      </c>
      <c r="F618" s="42" t="s">
        <v>247</v>
      </c>
      <c r="G618" s="84">
        <v>39720</v>
      </c>
      <c r="H618" s="108" t="str">
        <f>CHOOSE(MONTH(G618),"January","February","March","April","May","June","July","August","September","October","November","December")</f>
        <v>September</v>
      </c>
      <c r="I618" s="54">
        <f ca="1">DATEDIF(G618,TODAY(),"Y")</f>
        <v>8</v>
      </c>
      <c r="J618" s="55"/>
      <c r="K618" s="56">
        <v>43320</v>
      </c>
      <c r="L618" s="57">
        <v>5</v>
      </c>
    </row>
    <row r="619" spans="1:12" ht="15" x14ac:dyDescent="0.25">
      <c r="A619" s="42" t="s">
        <v>1020</v>
      </c>
      <c r="B619" s="49" t="s">
        <v>271</v>
      </c>
      <c r="C619" s="42" t="s">
        <v>856</v>
      </c>
      <c r="D619" s="75">
        <v>836953739</v>
      </c>
      <c r="E619" s="76">
        <v>2526443692</v>
      </c>
      <c r="F619" s="42" t="s">
        <v>261</v>
      </c>
      <c r="G619" s="84">
        <v>36531</v>
      </c>
      <c r="H619" s="108" t="str">
        <f>CHOOSE(MONTH(G619),"January","February","March","April","May","June","July","August","September","October","November","December")</f>
        <v>January</v>
      </c>
      <c r="I619" s="54">
        <f ca="1">DATEDIF(G619,TODAY(),"Y")</f>
        <v>16</v>
      </c>
      <c r="J619" s="55" t="s">
        <v>267</v>
      </c>
      <c r="K619" s="56">
        <v>20990</v>
      </c>
      <c r="L619" s="57">
        <v>4</v>
      </c>
    </row>
    <row r="620" spans="1:12" ht="15" x14ac:dyDescent="0.25">
      <c r="A620" s="42" t="s">
        <v>359</v>
      </c>
      <c r="B620" s="49" t="s">
        <v>280</v>
      </c>
      <c r="C620" s="42" t="s">
        <v>856</v>
      </c>
      <c r="D620" s="75">
        <v>614562070</v>
      </c>
      <c r="E620" s="76">
        <v>9192485673</v>
      </c>
      <c r="F620" s="42" t="s">
        <v>261</v>
      </c>
      <c r="G620" s="84">
        <v>37815</v>
      </c>
      <c r="H620" s="108" t="str">
        <f>CHOOSE(MONTH(G620),"January","February","March","April","May","June","July","August","September","October","November","December")</f>
        <v>July</v>
      </c>
      <c r="I620" s="54">
        <f ca="1">DATEDIF(G620,TODAY(),"Y")</f>
        <v>13</v>
      </c>
      <c r="J620" s="55" t="s">
        <v>257</v>
      </c>
      <c r="K620" s="56">
        <v>48740</v>
      </c>
      <c r="L620" s="57">
        <v>1</v>
      </c>
    </row>
    <row r="621" spans="1:12" ht="15" x14ac:dyDescent="0.25">
      <c r="A621" s="42" t="s">
        <v>420</v>
      </c>
      <c r="B621" s="49" t="s">
        <v>280</v>
      </c>
      <c r="C621" s="42" t="s">
        <v>856</v>
      </c>
      <c r="D621" s="75">
        <v>269873478</v>
      </c>
      <c r="E621" s="76">
        <v>9198244224</v>
      </c>
      <c r="F621" s="42" t="s">
        <v>256</v>
      </c>
      <c r="G621" s="84">
        <v>35715</v>
      </c>
      <c r="H621" s="108" t="str">
        <f>CHOOSE(MONTH(G621),"January","February","March","April","May","June","July","August","September","October","November","December")</f>
        <v>October</v>
      </c>
      <c r="I621" s="54">
        <f ca="1">DATEDIF(G621,TODAY(),"Y")</f>
        <v>19</v>
      </c>
      <c r="J621" s="55" t="s">
        <v>283</v>
      </c>
      <c r="K621" s="56">
        <v>32120</v>
      </c>
      <c r="L621" s="57">
        <v>1</v>
      </c>
    </row>
    <row r="622" spans="1:12" ht="15" x14ac:dyDescent="0.25">
      <c r="A622" s="42" t="s">
        <v>896</v>
      </c>
      <c r="B622" s="49" t="s">
        <v>251</v>
      </c>
      <c r="C622" s="42" t="s">
        <v>856</v>
      </c>
      <c r="D622" s="75">
        <v>462461365</v>
      </c>
      <c r="E622" s="76">
        <v>2527126482</v>
      </c>
      <c r="F622" s="42" t="s">
        <v>256</v>
      </c>
      <c r="G622" s="84">
        <v>34021</v>
      </c>
      <c r="H622" s="108" t="str">
        <f>CHOOSE(MONTH(G622),"January","February","March","April","May","June","July","August","September","October","November","December")</f>
        <v>February</v>
      </c>
      <c r="I622" s="54">
        <f ca="1">DATEDIF(G622,TODAY(),"Y")</f>
        <v>23</v>
      </c>
      <c r="J622" s="55" t="s">
        <v>283</v>
      </c>
      <c r="K622" s="56">
        <v>45110</v>
      </c>
      <c r="L622" s="57">
        <v>2</v>
      </c>
    </row>
    <row r="623" spans="1:12" ht="15" x14ac:dyDescent="0.25">
      <c r="A623" s="42" t="s">
        <v>1034</v>
      </c>
      <c r="B623" s="49" t="s">
        <v>245</v>
      </c>
      <c r="C623" s="42" t="s">
        <v>856</v>
      </c>
      <c r="D623" s="75">
        <v>512404764</v>
      </c>
      <c r="E623" s="76">
        <v>9193976775</v>
      </c>
      <c r="F623" s="42" t="s">
        <v>256</v>
      </c>
      <c r="G623" s="84">
        <v>36290</v>
      </c>
      <c r="H623" s="108" t="str">
        <f>CHOOSE(MONTH(G623),"January","February","March","April","May","June","July","August","September","October","November","December")</f>
        <v>May</v>
      </c>
      <c r="I623" s="54">
        <f ca="1">DATEDIF(G623,TODAY(),"Y")</f>
        <v>17</v>
      </c>
      <c r="J623" s="55" t="s">
        <v>283</v>
      </c>
      <c r="K623" s="56">
        <v>39000</v>
      </c>
      <c r="L623" s="57">
        <v>3</v>
      </c>
    </row>
    <row r="624" spans="1:12" ht="15" x14ac:dyDescent="0.25">
      <c r="A624" s="48" t="s">
        <v>278</v>
      </c>
      <c r="B624" s="49" t="s">
        <v>285</v>
      </c>
      <c r="C624" s="42" t="s">
        <v>856</v>
      </c>
      <c r="D624" s="75">
        <v>331251341</v>
      </c>
      <c r="E624" s="76">
        <v>2528678875</v>
      </c>
      <c r="F624" s="42" t="s">
        <v>256</v>
      </c>
      <c r="G624" s="84">
        <v>35896</v>
      </c>
      <c r="H624" s="108" t="str">
        <f>CHOOSE(MONTH(G624),"January","February","March","April","May","June","July","August","September","October","November","December")</f>
        <v>April</v>
      </c>
      <c r="I624" s="54">
        <f ca="1">DATEDIF(G624,TODAY(),"Y")</f>
        <v>18</v>
      </c>
      <c r="J624" s="55" t="s">
        <v>283</v>
      </c>
      <c r="K624" s="56">
        <v>70280</v>
      </c>
      <c r="L624" s="57">
        <v>3</v>
      </c>
    </row>
    <row r="625" spans="1:12" ht="15" x14ac:dyDescent="0.25">
      <c r="A625" s="42" t="s">
        <v>788</v>
      </c>
      <c r="B625" s="49" t="s">
        <v>245</v>
      </c>
      <c r="C625" s="42" t="s">
        <v>856</v>
      </c>
      <c r="D625" s="75">
        <v>765836666</v>
      </c>
      <c r="E625" s="76">
        <v>2525013435</v>
      </c>
      <c r="F625" s="42" t="s">
        <v>256</v>
      </c>
      <c r="G625" s="84">
        <v>39153</v>
      </c>
      <c r="H625" s="108" t="str">
        <f>CHOOSE(MONTH(G625),"January","February","March","April","May","June","July","August","September","October","November","December")</f>
        <v>March</v>
      </c>
      <c r="I625" s="54">
        <f ca="1">DATEDIF(G625,TODAY(),"Y")</f>
        <v>9</v>
      </c>
      <c r="J625" s="55" t="s">
        <v>283</v>
      </c>
      <c r="K625" s="56">
        <v>43600</v>
      </c>
      <c r="L625" s="57">
        <v>5</v>
      </c>
    </row>
    <row r="626" spans="1:12" ht="15" x14ac:dyDescent="0.25">
      <c r="A626" s="42" t="s">
        <v>978</v>
      </c>
      <c r="B626" s="49" t="s">
        <v>285</v>
      </c>
      <c r="C626" s="42" t="s">
        <v>856</v>
      </c>
      <c r="D626" s="75">
        <v>708082156</v>
      </c>
      <c r="E626" s="76">
        <v>9194919822</v>
      </c>
      <c r="F626" s="42" t="s">
        <v>256</v>
      </c>
      <c r="G626" s="84">
        <v>36312</v>
      </c>
      <c r="H626" s="108" t="str">
        <f>CHOOSE(MONTH(G626),"January","February","March","April","May","June","July","August","September","October","November","December")</f>
        <v>June</v>
      </c>
      <c r="I626" s="54">
        <f ca="1">DATEDIF(G626,TODAY(),"Y")</f>
        <v>17</v>
      </c>
      <c r="J626" s="55" t="s">
        <v>257</v>
      </c>
      <c r="K626" s="56">
        <v>69200</v>
      </c>
      <c r="L626" s="57">
        <v>4</v>
      </c>
    </row>
    <row r="627" spans="1:12" ht="15" x14ac:dyDescent="0.25">
      <c r="A627" s="42" t="s">
        <v>595</v>
      </c>
      <c r="B627" s="49" t="s">
        <v>285</v>
      </c>
      <c r="C627" s="42" t="s">
        <v>856</v>
      </c>
      <c r="D627" s="75">
        <v>693965055</v>
      </c>
      <c r="E627" s="76">
        <v>2527853314</v>
      </c>
      <c r="F627" s="42" t="s">
        <v>256</v>
      </c>
      <c r="G627" s="84">
        <v>33711</v>
      </c>
      <c r="H627" s="108" t="str">
        <f>CHOOSE(MONTH(G627),"January","February","March","April","May","June","July","August","September","October","November","December")</f>
        <v>April</v>
      </c>
      <c r="I627" s="54">
        <f ca="1">DATEDIF(G627,TODAY(),"Y")</f>
        <v>24</v>
      </c>
      <c r="J627" s="55" t="s">
        <v>257</v>
      </c>
      <c r="K627" s="56">
        <v>68470</v>
      </c>
      <c r="L627" s="57">
        <v>4</v>
      </c>
    </row>
    <row r="628" spans="1:12" ht="15" x14ac:dyDescent="0.25">
      <c r="A628" s="42" t="s">
        <v>444</v>
      </c>
      <c r="B628" s="49" t="s">
        <v>280</v>
      </c>
      <c r="C628" s="42" t="s">
        <v>856</v>
      </c>
      <c r="D628" s="75">
        <v>531654742</v>
      </c>
      <c r="E628" s="76">
        <v>9195770085</v>
      </c>
      <c r="F628" s="42" t="s">
        <v>256</v>
      </c>
      <c r="G628" s="84">
        <v>37793</v>
      </c>
      <c r="H628" s="108" t="str">
        <f>CHOOSE(MONTH(G628),"January","February","March","April","May","June","July","August","September","October","November","December")</f>
        <v>June</v>
      </c>
      <c r="I628" s="54">
        <f ca="1">DATEDIF(G628,TODAY(),"Y")</f>
        <v>13</v>
      </c>
      <c r="J628" s="55" t="s">
        <v>257</v>
      </c>
      <c r="K628" s="56">
        <v>29210</v>
      </c>
      <c r="L628" s="57">
        <v>5</v>
      </c>
    </row>
    <row r="629" spans="1:12" ht="15" x14ac:dyDescent="0.25">
      <c r="A629" s="42" t="s">
        <v>1035</v>
      </c>
      <c r="B629" s="49" t="s">
        <v>251</v>
      </c>
      <c r="C629" s="42" t="s">
        <v>856</v>
      </c>
      <c r="D629" s="75">
        <v>593584018</v>
      </c>
      <c r="E629" s="76">
        <v>9194626281</v>
      </c>
      <c r="F629" s="42" t="s">
        <v>256</v>
      </c>
      <c r="G629" s="84">
        <v>33454</v>
      </c>
      <c r="H629" s="108" t="str">
        <f>CHOOSE(MONTH(G629),"January","February","March","April","May","June","July","August","September","October","November","December")</f>
        <v>August</v>
      </c>
      <c r="I629" s="54">
        <f ca="1">DATEDIF(G629,TODAY(),"Y")</f>
        <v>25</v>
      </c>
      <c r="J629" s="55" t="s">
        <v>257</v>
      </c>
      <c r="K629" s="56">
        <v>67920</v>
      </c>
      <c r="L629" s="57">
        <v>4</v>
      </c>
    </row>
    <row r="630" spans="1:12" ht="15" x14ac:dyDescent="0.25">
      <c r="A630" s="42" t="s">
        <v>469</v>
      </c>
      <c r="B630" s="49" t="s">
        <v>245</v>
      </c>
      <c r="C630" s="42" t="s">
        <v>856</v>
      </c>
      <c r="D630" s="75">
        <v>291274360</v>
      </c>
      <c r="E630" s="76">
        <v>2524563177</v>
      </c>
      <c r="F630" s="42" t="s">
        <v>256</v>
      </c>
      <c r="G630" s="84">
        <v>36081</v>
      </c>
      <c r="H630" s="108" t="str">
        <f>CHOOSE(MONTH(G630),"January","February","March","April","May","June","July","August","September","October","November","December")</f>
        <v>October</v>
      </c>
      <c r="I630" s="54">
        <f ca="1">DATEDIF(G630,TODAY(),"Y")</f>
        <v>18</v>
      </c>
      <c r="J630" s="55" t="s">
        <v>283</v>
      </c>
      <c r="K630" s="56">
        <v>67407</v>
      </c>
      <c r="L630" s="57">
        <v>5</v>
      </c>
    </row>
    <row r="631" spans="1:12" ht="15" x14ac:dyDescent="0.25">
      <c r="A631" s="42" t="s">
        <v>1017</v>
      </c>
      <c r="B631" s="49" t="s">
        <v>245</v>
      </c>
      <c r="C631" s="42" t="s">
        <v>856</v>
      </c>
      <c r="D631" s="75">
        <v>288741910</v>
      </c>
      <c r="E631" s="76">
        <v>2522842668</v>
      </c>
      <c r="F631" s="42" t="s">
        <v>256</v>
      </c>
      <c r="G631" s="84">
        <v>36360</v>
      </c>
      <c r="H631" s="108" t="str">
        <f>CHOOSE(MONTH(G631),"January","February","March","April","May","June","July","August","September","October","November","December")</f>
        <v>July</v>
      </c>
      <c r="I631" s="54">
        <f ca="1">DATEDIF(G631,TODAY(),"Y")</f>
        <v>17</v>
      </c>
      <c r="J631" s="55" t="s">
        <v>283</v>
      </c>
      <c r="K631" s="56">
        <v>67020</v>
      </c>
      <c r="L631" s="57">
        <v>1</v>
      </c>
    </row>
    <row r="632" spans="1:12" ht="15" x14ac:dyDescent="0.25">
      <c r="A632" s="42" t="s">
        <v>918</v>
      </c>
      <c r="B632" s="49" t="s">
        <v>266</v>
      </c>
      <c r="C632" s="42" t="s">
        <v>856</v>
      </c>
      <c r="D632" s="75">
        <v>733881041</v>
      </c>
      <c r="E632" s="76">
        <v>2524072342</v>
      </c>
      <c r="F632" s="42" t="s">
        <v>252</v>
      </c>
      <c r="G632" s="84">
        <v>36557</v>
      </c>
      <c r="H632" s="108" t="str">
        <f>CHOOSE(MONTH(G632),"January","February","March","April","May","June","July","August","September","October","November","December")</f>
        <v>February</v>
      </c>
      <c r="I632" s="54">
        <f ca="1">DATEDIF(G632,TODAY(),"Y")</f>
        <v>16</v>
      </c>
      <c r="J632" s="55"/>
      <c r="K632" s="56">
        <v>15552</v>
      </c>
      <c r="L632" s="57">
        <v>4</v>
      </c>
    </row>
    <row r="633" spans="1:12" ht="15" x14ac:dyDescent="0.25">
      <c r="A633" s="42" t="s">
        <v>605</v>
      </c>
      <c r="B633" s="49" t="s">
        <v>271</v>
      </c>
      <c r="C633" s="42" t="s">
        <v>856</v>
      </c>
      <c r="D633" s="75">
        <v>404589373</v>
      </c>
      <c r="E633" s="76">
        <v>9198407416</v>
      </c>
      <c r="F633" s="42" t="s">
        <v>256</v>
      </c>
      <c r="G633" s="84">
        <v>34028</v>
      </c>
      <c r="H633" s="108" t="str">
        <f>CHOOSE(MONTH(G633),"January","February","March","April","May","June","July","August","September","October","November","December")</f>
        <v>February</v>
      </c>
      <c r="I633" s="54">
        <f ca="1">DATEDIF(G633,TODAY(),"Y")</f>
        <v>23</v>
      </c>
      <c r="J633" s="55" t="s">
        <v>283</v>
      </c>
      <c r="K633" s="56">
        <v>66824</v>
      </c>
      <c r="L633" s="57">
        <v>2</v>
      </c>
    </row>
    <row r="634" spans="1:12" ht="15" x14ac:dyDescent="0.25">
      <c r="A634" s="42" t="s">
        <v>523</v>
      </c>
      <c r="B634" s="49" t="s">
        <v>271</v>
      </c>
      <c r="C634" s="42" t="s">
        <v>856</v>
      </c>
      <c r="D634" s="75">
        <v>277925508</v>
      </c>
      <c r="E634" s="76">
        <v>2526584511</v>
      </c>
      <c r="F634" s="42" t="s">
        <v>256</v>
      </c>
      <c r="G634" s="84">
        <v>35373</v>
      </c>
      <c r="H634" s="108" t="str">
        <f>CHOOSE(MONTH(G634),"January","February","March","April","May","June","July","August","September","October","November","December")</f>
        <v>November</v>
      </c>
      <c r="I634" s="54">
        <f ca="1">DATEDIF(G634,TODAY(),"Y")</f>
        <v>20</v>
      </c>
      <c r="J634" s="55" t="s">
        <v>283</v>
      </c>
      <c r="K634" s="56">
        <v>66440</v>
      </c>
      <c r="L634" s="57">
        <v>3</v>
      </c>
    </row>
    <row r="635" spans="1:12" ht="15" x14ac:dyDescent="0.25">
      <c r="A635" s="42" t="s">
        <v>1033</v>
      </c>
      <c r="B635" s="49" t="s">
        <v>285</v>
      </c>
      <c r="C635" s="42" t="s">
        <v>856</v>
      </c>
      <c r="D635" s="75">
        <v>622200296</v>
      </c>
      <c r="E635" s="76">
        <v>2526306545</v>
      </c>
      <c r="F635" s="42" t="s">
        <v>256</v>
      </c>
      <c r="G635" s="84">
        <v>33685</v>
      </c>
      <c r="H635" s="108" t="str">
        <f>CHOOSE(MONTH(G635),"January","February","March","April","May","June","July","August","September","October","November","December")</f>
        <v>March</v>
      </c>
      <c r="I635" s="54">
        <f ca="1">DATEDIF(G635,TODAY(),"Y")</f>
        <v>24</v>
      </c>
      <c r="J635" s="55" t="s">
        <v>257</v>
      </c>
      <c r="K635" s="56">
        <v>65571</v>
      </c>
      <c r="L635" s="57">
        <v>3</v>
      </c>
    </row>
    <row r="636" spans="1:12" ht="15" x14ac:dyDescent="0.25">
      <c r="A636" s="42" t="s">
        <v>499</v>
      </c>
      <c r="B636" s="49" t="s">
        <v>251</v>
      </c>
      <c r="C636" s="42" t="s">
        <v>856</v>
      </c>
      <c r="D636" s="75">
        <v>626501093</v>
      </c>
      <c r="E636" s="76">
        <v>9192822520</v>
      </c>
      <c r="F636" s="42" t="s">
        <v>247</v>
      </c>
      <c r="G636" s="84">
        <v>38027</v>
      </c>
      <c r="H636" s="108" t="str">
        <f>CHOOSE(MONTH(G636),"January","February","March","April","May","June","July","August","September","October","November","December")</f>
        <v>February</v>
      </c>
      <c r="I636" s="54">
        <f ca="1">DATEDIF(G636,TODAY(),"Y")</f>
        <v>12</v>
      </c>
      <c r="J636" s="55"/>
      <c r="K636" s="56">
        <v>64590</v>
      </c>
      <c r="L636" s="57">
        <v>1</v>
      </c>
    </row>
    <row r="637" spans="1:12" ht="15" x14ac:dyDescent="0.25">
      <c r="A637" s="42" t="s">
        <v>438</v>
      </c>
      <c r="B637" s="49" t="s">
        <v>285</v>
      </c>
      <c r="C637" s="42" t="s">
        <v>856</v>
      </c>
      <c r="D637" s="75">
        <v>420739404</v>
      </c>
      <c r="E637" s="76">
        <v>9197785583</v>
      </c>
      <c r="F637" s="42" t="s">
        <v>256</v>
      </c>
      <c r="G637" s="84">
        <v>33269</v>
      </c>
      <c r="H637" s="108" t="str">
        <f>CHOOSE(MONTH(G637),"January","February","March","April","May","June","July","August","September","October","November","December")</f>
        <v>January</v>
      </c>
      <c r="I637" s="54">
        <f ca="1">DATEDIF(G637,TODAY(),"Y")</f>
        <v>25</v>
      </c>
      <c r="J637" s="55" t="s">
        <v>283</v>
      </c>
      <c r="K637" s="56">
        <v>24840</v>
      </c>
      <c r="L637" s="57">
        <v>1</v>
      </c>
    </row>
    <row r="638" spans="1:12" ht="15" x14ac:dyDescent="0.25">
      <c r="A638" s="42" t="s">
        <v>454</v>
      </c>
      <c r="B638" s="49" t="s">
        <v>271</v>
      </c>
      <c r="C638" s="42" t="s">
        <v>856</v>
      </c>
      <c r="D638" s="75">
        <v>272659955</v>
      </c>
      <c r="E638" s="76">
        <v>9194127875</v>
      </c>
      <c r="F638" s="42" t="s">
        <v>256</v>
      </c>
      <c r="G638" s="84">
        <v>34285</v>
      </c>
      <c r="H638" s="108" t="str">
        <f>CHOOSE(MONTH(G638),"January","February","March","April","May","June","July","August","September","October","November","December")</f>
        <v>November</v>
      </c>
      <c r="I638" s="54">
        <f ca="1">DATEDIF(G638,TODAY(),"Y")</f>
        <v>22</v>
      </c>
      <c r="J638" s="55" t="s">
        <v>267</v>
      </c>
      <c r="K638" s="56">
        <v>48490</v>
      </c>
      <c r="L638" s="57">
        <v>2</v>
      </c>
    </row>
    <row r="639" spans="1:12" ht="15" x14ac:dyDescent="0.25">
      <c r="A639" s="42" t="s">
        <v>457</v>
      </c>
      <c r="B639" s="49" t="s">
        <v>266</v>
      </c>
      <c r="C639" s="42" t="s">
        <v>856</v>
      </c>
      <c r="D639" s="75">
        <v>781472289</v>
      </c>
      <c r="E639" s="76">
        <v>2528502926</v>
      </c>
      <c r="F639" s="42" t="s">
        <v>256</v>
      </c>
      <c r="G639" s="84">
        <v>33548</v>
      </c>
      <c r="H639" s="108" t="str">
        <f>CHOOSE(MONTH(G639),"January","February","March","April","May","June","July","August","September","October","November","December")</f>
        <v>November</v>
      </c>
      <c r="I639" s="54">
        <f ca="1">DATEDIF(G639,TODAY(),"Y")</f>
        <v>25</v>
      </c>
      <c r="J639" s="55" t="s">
        <v>283</v>
      </c>
      <c r="K639" s="56">
        <v>63050</v>
      </c>
      <c r="L639" s="57">
        <v>3</v>
      </c>
    </row>
    <row r="640" spans="1:12" ht="15" x14ac:dyDescent="0.25">
      <c r="A640" s="42" t="s">
        <v>949</v>
      </c>
      <c r="B640" s="49" t="s">
        <v>271</v>
      </c>
      <c r="C640" s="42" t="s">
        <v>856</v>
      </c>
      <c r="D640" s="75">
        <v>562497973</v>
      </c>
      <c r="E640" s="76">
        <v>2524111882</v>
      </c>
      <c r="F640" s="42" t="s">
        <v>256</v>
      </c>
      <c r="G640" s="84">
        <v>35356</v>
      </c>
      <c r="H640" s="108" t="str">
        <f>CHOOSE(MONTH(G640),"January","February","March","April","May","June","July","August","September","October","November","December")</f>
        <v>October</v>
      </c>
      <c r="I640" s="54">
        <f ca="1">DATEDIF(G640,TODAY(),"Y")</f>
        <v>20</v>
      </c>
      <c r="J640" s="55" t="s">
        <v>262</v>
      </c>
      <c r="K640" s="56">
        <v>63030</v>
      </c>
      <c r="L640" s="57">
        <v>1</v>
      </c>
    </row>
    <row r="641" spans="1:12" ht="15" x14ac:dyDescent="0.25">
      <c r="A641" s="42" t="s">
        <v>971</v>
      </c>
      <c r="B641" s="49" t="s">
        <v>245</v>
      </c>
      <c r="C641" s="42" t="s">
        <v>856</v>
      </c>
      <c r="D641" s="75">
        <v>426014550</v>
      </c>
      <c r="E641" s="76">
        <v>2522889182</v>
      </c>
      <c r="F641" s="42" t="s">
        <v>256</v>
      </c>
      <c r="G641" s="84">
        <v>35451</v>
      </c>
      <c r="H641" s="108" t="str">
        <f>CHOOSE(MONTH(G641),"January","February","March","April","May","June","July","August","September","October","November","December")</f>
        <v>January</v>
      </c>
      <c r="I641" s="54">
        <f ca="1">DATEDIF(G641,TODAY(),"Y")</f>
        <v>19</v>
      </c>
      <c r="J641" s="55" t="s">
        <v>276</v>
      </c>
      <c r="K641" s="56">
        <v>62965</v>
      </c>
      <c r="L641" s="57">
        <v>1</v>
      </c>
    </row>
    <row r="642" spans="1:12" ht="15" x14ac:dyDescent="0.25">
      <c r="A642" s="42" t="s">
        <v>360</v>
      </c>
      <c r="B642" s="49" t="s">
        <v>271</v>
      </c>
      <c r="C642" s="42" t="s">
        <v>856</v>
      </c>
      <c r="D642" s="75">
        <v>705186668</v>
      </c>
      <c r="E642" s="76">
        <v>9193922813</v>
      </c>
      <c r="F642" s="42" t="s">
        <v>252</v>
      </c>
      <c r="G642" s="84">
        <v>34180</v>
      </c>
      <c r="H642" s="108" t="str">
        <f>CHOOSE(MONTH(G642),"January","February","March","April","May","June","July","August","September","October","November","December")</f>
        <v>July</v>
      </c>
      <c r="I642" s="54">
        <f ca="1">DATEDIF(G642,TODAY(),"Y")</f>
        <v>23</v>
      </c>
      <c r="J642" s="55"/>
      <c r="K642" s="56">
        <v>26484</v>
      </c>
      <c r="L642" s="57">
        <v>5</v>
      </c>
    </row>
    <row r="643" spans="1:12" ht="15" x14ac:dyDescent="0.25">
      <c r="A643" s="42" t="s">
        <v>386</v>
      </c>
      <c r="B643" s="49" t="s">
        <v>271</v>
      </c>
      <c r="C643" s="42" t="s">
        <v>856</v>
      </c>
      <c r="D643" s="75">
        <v>548704405</v>
      </c>
      <c r="E643" s="76">
        <v>2526458440</v>
      </c>
      <c r="F643" s="42" t="s">
        <v>247</v>
      </c>
      <c r="G643" s="84">
        <v>36406</v>
      </c>
      <c r="H643" s="108" t="str">
        <f>CHOOSE(MONTH(G643),"January","February","March","April","May","June","July","August","September","October","November","December")</f>
        <v>September</v>
      </c>
      <c r="I643" s="54">
        <f ca="1">DATEDIF(G643,TODAY(),"Y")</f>
        <v>17</v>
      </c>
      <c r="J643" s="55"/>
      <c r="K643" s="56">
        <v>60800</v>
      </c>
      <c r="L643" s="57">
        <v>4</v>
      </c>
    </row>
    <row r="644" spans="1:12" ht="15" x14ac:dyDescent="0.25">
      <c r="A644" s="42" t="s">
        <v>994</v>
      </c>
      <c r="B644" s="49" t="s">
        <v>280</v>
      </c>
      <c r="C644" s="42" t="s">
        <v>856</v>
      </c>
      <c r="D644" s="75">
        <v>619456809</v>
      </c>
      <c r="E644" s="76">
        <v>9196865606</v>
      </c>
      <c r="F644" s="42" t="s">
        <v>261</v>
      </c>
      <c r="G644" s="84">
        <v>35842</v>
      </c>
      <c r="H644" s="108" t="str">
        <f>CHOOSE(MONTH(G644),"January","February","March","April","May","June","July","August","September","October","November","December")</f>
        <v>February</v>
      </c>
      <c r="I644" s="54">
        <f ca="1">DATEDIF(G644,TODAY(),"Y")</f>
        <v>18</v>
      </c>
      <c r="J644" s="55" t="s">
        <v>267</v>
      </c>
      <c r="K644" s="56">
        <v>39530</v>
      </c>
      <c r="L644" s="57">
        <v>5</v>
      </c>
    </row>
    <row r="645" spans="1:12" ht="15" x14ac:dyDescent="0.25">
      <c r="A645" s="42" t="s">
        <v>666</v>
      </c>
      <c r="B645" s="49" t="s">
        <v>245</v>
      </c>
      <c r="C645" s="42" t="s">
        <v>856</v>
      </c>
      <c r="D645" s="75">
        <v>221347766</v>
      </c>
      <c r="E645" s="76">
        <v>2526853122</v>
      </c>
      <c r="F645" s="42" t="s">
        <v>247</v>
      </c>
      <c r="G645" s="84">
        <v>36070</v>
      </c>
      <c r="H645" s="108" t="str">
        <f>CHOOSE(MONTH(G645),"January","February","March","April","May","June","July","August","September","October","November","December")</f>
        <v>October</v>
      </c>
      <c r="I645" s="54">
        <f ca="1">DATEDIF(G645,TODAY(),"Y")</f>
        <v>18</v>
      </c>
      <c r="J645" s="55"/>
      <c r="K645" s="56">
        <v>59050</v>
      </c>
      <c r="L645" s="57">
        <v>4</v>
      </c>
    </row>
    <row r="646" spans="1:12" ht="15" x14ac:dyDescent="0.25">
      <c r="A646" s="42" t="s">
        <v>356</v>
      </c>
      <c r="B646" s="49" t="s">
        <v>285</v>
      </c>
      <c r="C646" s="42" t="s">
        <v>856</v>
      </c>
      <c r="D646" s="75">
        <v>125540405</v>
      </c>
      <c r="E646" s="76">
        <v>2524589262</v>
      </c>
      <c r="F646" s="42" t="s">
        <v>256</v>
      </c>
      <c r="G646" s="84">
        <v>36245</v>
      </c>
      <c r="H646" s="108" t="str">
        <f>CHOOSE(MONTH(G646),"January","February","March","April","May","June","July","August","September","October","November","December")</f>
        <v>March</v>
      </c>
      <c r="I646" s="54">
        <f ca="1">DATEDIF(G646,TODAY(),"Y")</f>
        <v>17</v>
      </c>
      <c r="J646" s="55" t="s">
        <v>257</v>
      </c>
      <c r="K646" s="56">
        <v>58410</v>
      </c>
      <c r="L646" s="57">
        <v>5</v>
      </c>
    </row>
    <row r="647" spans="1:12" ht="15" x14ac:dyDescent="0.25">
      <c r="A647" s="42" t="s">
        <v>694</v>
      </c>
      <c r="B647" s="49" t="s">
        <v>285</v>
      </c>
      <c r="C647" s="42" t="s">
        <v>856</v>
      </c>
      <c r="D647" s="75">
        <v>750722934</v>
      </c>
      <c r="E647" s="76">
        <v>2523631883</v>
      </c>
      <c r="F647" s="42" t="s">
        <v>256</v>
      </c>
      <c r="G647" s="84">
        <v>35569</v>
      </c>
      <c r="H647" s="108" t="str">
        <f>CHOOSE(MONTH(G647),"January","February","March","April","May","June","July","August","September","October","November","December")</f>
        <v>May</v>
      </c>
      <c r="I647" s="54">
        <f ca="1">DATEDIF(G647,TODAY(),"Y")</f>
        <v>19</v>
      </c>
      <c r="J647" s="55" t="s">
        <v>283</v>
      </c>
      <c r="K647" s="56">
        <v>37770</v>
      </c>
      <c r="L647" s="57">
        <v>5</v>
      </c>
    </row>
    <row r="648" spans="1:12" ht="15" x14ac:dyDescent="0.25">
      <c r="A648" s="42" t="s">
        <v>847</v>
      </c>
      <c r="B648" s="49" t="s">
        <v>251</v>
      </c>
      <c r="C648" s="42" t="s">
        <v>856</v>
      </c>
      <c r="D648" s="75">
        <v>368385341</v>
      </c>
      <c r="E648" s="76">
        <v>9195526537</v>
      </c>
      <c r="F648" s="42" t="s">
        <v>247</v>
      </c>
      <c r="G648" s="84">
        <v>37082</v>
      </c>
      <c r="H648" s="108" t="str">
        <f>CHOOSE(MONTH(G648),"January","February","March","April","May","June","July","August","September","October","November","December")</f>
        <v>July</v>
      </c>
      <c r="I648" s="54">
        <f ca="1">DATEDIF(G648,TODAY(),"Y")</f>
        <v>15</v>
      </c>
      <c r="J648" s="55"/>
      <c r="K648" s="56">
        <v>46780</v>
      </c>
      <c r="L648" s="57">
        <v>2</v>
      </c>
    </row>
    <row r="649" spans="1:12" ht="15" x14ac:dyDescent="0.25">
      <c r="A649" s="42" t="s">
        <v>838</v>
      </c>
      <c r="B649" s="49" t="s">
        <v>285</v>
      </c>
      <c r="C649" s="42" t="s">
        <v>856</v>
      </c>
      <c r="D649" s="75">
        <v>195772503</v>
      </c>
      <c r="E649" s="76">
        <v>9193123940</v>
      </c>
      <c r="F649" s="42" t="s">
        <v>247</v>
      </c>
      <c r="G649" s="84">
        <v>33914</v>
      </c>
      <c r="H649" s="108" t="str">
        <f>CHOOSE(MONTH(G649),"January","February","March","April","May","June","July","August","September","October","November","December")</f>
        <v>November</v>
      </c>
      <c r="I649" s="54">
        <f ca="1">DATEDIF(G649,TODAY(),"Y")</f>
        <v>24</v>
      </c>
      <c r="J649" s="55"/>
      <c r="K649" s="56">
        <v>55690</v>
      </c>
      <c r="L649" s="57">
        <v>2</v>
      </c>
    </row>
    <row r="650" spans="1:12" ht="15" x14ac:dyDescent="0.25">
      <c r="A650" s="48" t="s">
        <v>282</v>
      </c>
      <c r="B650" s="49" t="s">
        <v>285</v>
      </c>
      <c r="C650" s="42" t="s">
        <v>856</v>
      </c>
      <c r="D650" s="75">
        <v>393973492</v>
      </c>
      <c r="E650" s="76">
        <v>2522869792</v>
      </c>
      <c r="F650" s="42" t="s">
        <v>261</v>
      </c>
      <c r="G650" s="84">
        <v>36423</v>
      </c>
      <c r="H650" s="108" t="str">
        <f>CHOOSE(MONTH(G650),"January","February","March","April","May","June","July","August","September","October","November","December")</f>
        <v>September</v>
      </c>
      <c r="I650" s="54">
        <f ca="1">DATEDIF(G650,TODAY(),"Y")</f>
        <v>17</v>
      </c>
      <c r="J650" s="55" t="s">
        <v>276</v>
      </c>
      <c r="K650" s="56">
        <v>47350</v>
      </c>
      <c r="L650" s="57">
        <v>1</v>
      </c>
    </row>
    <row r="651" spans="1:12" ht="15" x14ac:dyDescent="0.25">
      <c r="A651" s="42" t="s">
        <v>621</v>
      </c>
      <c r="B651" s="49" t="s">
        <v>285</v>
      </c>
      <c r="C651" s="42" t="s">
        <v>856</v>
      </c>
      <c r="D651" s="75">
        <v>135633006</v>
      </c>
      <c r="E651" s="76">
        <v>2526732103</v>
      </c>
      <c r="F651" s="42" t="s">
        <v>247</v>
      </c>
      <c r="G651" s="84">
        <v>36479</v>
      </c>
      <c r="H651" s="108" t="str">
        <f>CHOOSE(MONTH(G651),"January","February","March","April","May","June","July","August","September","October","November","December")</f>
        <v>November</v>
      </c>
      <c r="I651" s="54">
        <f ca="1">DATEDIF(G651,TODAY(),"Y")</f>
        <v>16</v>
      </c>
      <c r="J651" s="55"/>
      <c r="K651" s="56">
        <v>54840</v>
      </c>
      <c r="L651" s="57">
        <v>4</v>
      </c>
    </row>
    <row r="652" spans="1:12" ht="15" x14ac:dyDescent="0.25">
      <c r="A652" s="42" t="s">
        <v>867</v>
      </c>
      <c r="B652" s="49" t="s">
        <v>285</v>
      </c>
      <c r="C652" s="42" t="s">
        <v>856</v>
      </c>
      <c r="D652" s="75">
        <v>784064156</v>
      </c>
      <c r="E652" s="81">
        <v>9193355152</v>
      </c>
      <c r="F652" s="42" t="s">
        <v>256</v>
      </c>
      <c r="G652" s="84">
        <v>33604</v>
      </c>
      <c r="H652" s="108" t="str">
        <f>CHOOSE(MONTH(G652),"January","February","March","April","May","June","July","August","September","October","November","December")</f>
        <v>January</v>
      </c>
      <c r="I652" s="54">
        <f ca="1">DATEDIF(G652,TODAY(),"Y")</f>
        <v>24</v>
      </c>
      <c r="J652" s="55" t="s">
        <v>257</v>
      </c>
      <c r="K652" s="56">
        <v>54830</v>
      </c>
      <c r="L652" s="57">
        <v>1</v>
      </c>
    </row>
    <row r="653" spans="1:12" ht="15" x14ac:dyDescent="0.25">
      <c r="A653" s="42" t="s">
        <v>660</v>
      </c>
      <c r="B653" s="49" t="s">
        <v>245</v>
      </c>
      <c r="C653" s="42" t="s">
        <v>856</v>
      </c>
      <c r="D653" s="75">
        <v>186821354</v>
      </c>
      <c r="E653" s="76">
        <v>2528527032</v>
      </c>
      <c r="F653" s="42" t="s">
        <v>256</v>
      </c>
      <c r="G653" s="84">
        <v>34010</v>
      </c>
      <c r="H653" s="108" t="str">
        <f>CHOOSE(MONTH(G653),"January","February","March","April","May","June","July","August","September","October","November","December")</f>
        <v>February</v>
      </c>
      <c r="I653" s="54">
        <f ca="1">DATEDIF(G653,TODAY(),"Y")</f>
        <v>23</v>
      </c>
      <c r="J653" s="55" t="s">
        <v>257</v>
      </c>
      <c r="K653" s="56">
        <v>54270</v>
      </c>
      <c r="L653" s="57">
        <v>3</v>
      </c>
    </row>
    <row r="654" spans="1:12" ht="15" x14ac:dyDescent="0.25">
      <c r="A654" s="42" t="s">
        <v>1016</v>
      </c>
      <c r="B654" s="49" t="s">
        <v>285</v>
      </c>
      <c r="C654" s="42" t="s">
        <v>856</v>
      </c>
      <c r="D654" s="75">
        <v>100703382</v>
      </c>
      <c r="E654" s="76">
        <v>9195157047</v>
      </c>
      <c r="F654" s="42" t="s">
        <v>256</v>
      </c>
      <c r="G654" s="84">
        <v>34160</v>
      </c>
      <c r="H654" s="108" t="str">
        <f>CHOOSE(MONTH(G654),"January","February","March","April","May","June","July","August","September","October","November","December")</f>
        <v>July</v>
      </c>
      <c r="I654" s="54">
        <f ca="1">DATEDIF(G654,TODAY(),"Y")</f>
        <v>23</v>
      </c>
      <c r="J654" s="55" t="s">
        <v>257</v>
      </c>
      <c r="K654" s="56">
        <v>54200</v>
      </c>
      <c r="L654" s="57">
        <v>4</v>
      </c>
    </row>
    <row r="655" spans="1:12" ht="15" x14ac:dyDescent="0.25">
      <c r="A655" s="42" t="s">
        <v>759</v>
      </c>
      <c r="B655" s="49" t="s">
        <v>285</v>
      </c>
      <c r="C655" s="42" t="s">
        <v>856</v>
      </c>
      <c r="D655" s="75">
        <v>693055639</v>
      </c>
      <c r="E655" s="76">
        <v>9195866887</v>
      </c>
      <c r="F655" s="42" t="s">
        <v>256</v>
      </c>
      <c r="G655" s="84">
        <v>33222</v>
      </c>
      <c r="H655" s="108" t="str">
        <f>CHOOSE(MONTH(G655),"January","February","March","April","May","June","July","August","September","October","November","December")</f>
        <v>December</v>
      </c>
      <c r="I655" s="54">
        <f ca="1">DATEDIF(G655,TODAY(),"Y")</f>
        <v>25</v>
      </c>
      <c r="J655" s="55" t="s">
        <v>257</v>
      </c>
      <c r="K655" s="56">
        <v>53900</v>
      </c>
      <c r="L655" s="57">
        <v>5</v>
      </c>
    </row>
    <row r="656" spans="1:12" ht="15" x14ac:dyDescent="0.25">
      <c r="A656" s="42" t="s">
        <v>758</v>
      </c>
      <c r="B656" s="49" t="s">
        <v>285</v>
      </c>
      <c r="C656" s="42" t="s">
        <v>856</v>
      </c>
      <c r="D656" s="75">
        <v>351003584</v>
      </c>
      <c r="E656" s="76">
        <v>2524269081</v>
      </c>
      <c r="F656" s="42" t="s">
        <v>247</v>
      </c>
      <c r="G656" s="84">
        <v>36214</v>
      </c>
      <c r="H656" s="108" t="str">
        <f>CHOOSE(MONTH(G656),"January","February","March","April","May","June","July","August","September","October","November","December")</f>
        <v>February</v>
      </c>
      <c r="I656" s="54">
        <f ca="1">DATEDIF(G656,TODAY(),"Y")</f>
        <v>17</v>
      </c>
      <c r="J656" s="55"/>
      <c r="K656" s="56">
        <v>53310</v>
      </c>
      <c r="L656" s="57">
        <v>5</v>
      </c>
    </row>
    <row r="657" spans="1:12" ht="15" x14ac:dyDescent="0.25">
      <c r="A657" s="42" t="s">
        <v>752</v>
      </c>
      <c r="B657" s="49" t="s">
        <v>266</v>
      </c>
      <c r="C657" s="42" t="s">
        <v>856</v>
      </c>
      <c r="D657" s="75">
        <v>878902154</v>
      </c>
      <c r="E657" s="76">
        <v>9191155509</v>
      </c>
      <c r="F657" s="42" t="s">
        <v>261</v>
      </c>
      <c r="G657" s="84">
        <v>33890</v>
      </c>
      <c r="H657" s="108" t="str">
        <f>CHOOSE(MONTH(G657),"January","February","March","April","May","June","July","August","September","October","November","December")</f>
        <v>October</v>
      </c>
      <c r="I657" s="54">
        <f ca="1">DATEDIF(G657,TODAY(),"Y")</f>
        <v>24</v>
      </c>
      <c r="J657" s="55" t="s">
        <v>283</v>
      </c>
      <c r="K657" s="56">
        <v>25885</v>
      </c>
      <c r="L657" s="57">
        <v>5</v>
      </c>
    </row>
    <row r="658" spans="1:12" ht="15" x14ac:dyDescent="0.25">
      <c r="A658" s="42"/>
      <c r="B658" s="49"/>
      <c r="C658" s="114"/>
      <c r="D658" s="75"/>
      <c r="E658" s="76"/>
      <c r="F658" s="42"/>
      <c r="G658" s="84"/>
      <c r="H658" s="108"/>
      <c r="I658" s="54"/>
      <c r="J658" s="55"/>
      <c r="K658" s="56"/>
      <c r="L658" s="57"/>
    </row>
    <row r="659" spans="1:12" ht="15" x14ac:dyDescent="0.25">
      <c r="A659" s="42" t="s">
        <v>741</v>
      </c>
      <c r="B659" s="49" t="s">
        <v>266</v>
      </c>
      <c r="C659" s="42" t="s">
        <v>930</v>
      </c>
      <c r="D659" s="75">
        <v>626648632</v>
      </c>
      <c r="E659" s="76">
        <v>2526412482</v>
      </c>
      <c r="F659" s="42" t="s">
        <v>247</v>
      </c>
      <c r="G659" s="84">
        <v>37453</v>
      </c>
      <c r="H659" s="108" t="str">
        <f>CHOOSE(MONTH(G659),"January","February","March","April","May","June","July","August","September","October","November","December")</f>
        <v>July</v>
      </c>
      <c r="I659" s="54">
        <f ca="1">DATEDIF(G659,TODAY(),"Y")</f>
        <v>14</v>
      </c>
      <c r="J659" s="55"/>
      <c r="K659" s="56">
        <v>49090</v>
      </c>
      <c r="L659" s="57">
        <v>4</v>
      </c>
    </row>
    <row r="660" spans="1:12" ht="15" x14ac:dyDescent="0.25">
      <c r="A660" s="42" t="s">
        <v>462</v>
      </c>
      <c r="B660" s="49" t="s">
        <v>266</v>
      </c>
      <c r="C660" s="42" t="s">
        <v>930</v>
      </c>
      <c r="D660" s="75">
        <v>120224342</v>
      </c>
      <c r="E660" s="76">
        <v>9198986390</v>
      </c>
      <c r="F660" s="42" t="s">
        <v>252</v>
      </c>
      <c r="G660" s="84">
        <v>36458</v>
      </c>
      <c r="H660" s="108" t="str">
        <f>CHOOSE(MONTH(G660),"January","February","March","April","May","June","July","August","September","October","November","December")</f>
        <v>October</v>
      </c>
      <c r="I660" s="54">
        <f ca="1">DATEDIF(G660,TODAY(),"Y")</f>
        <v>17</v>
      </c>
      <c r="J660" s="55"/>
      <c r="K660" s="56">
        <v>32536</v>
      </c>
      <c r="L660" s="57">
        <v>2</v>
      </c>
    </row>
    <row r="661" spans="1:12" ht="15" x14ac:dyDescent="0.25">
      <c r="A661" s="42" t="s">
        <v>1030</v>
      </c>
      <c r="B661" s="49" t="s">
        <v>280</v>
      </c>
      <c r="C661" s="42" t="s">
        <v>930</v>
      </c>
      <c r="D661" s="75">
        <v>651999482</v>
      </c>
      <c r="E661" s="76">
        <v>2523014821</v>
      </c>
      <c r="F661" s="42" t="s">
        <v>256</v>
      </c>
      <c r="G661" s="84">
        <v>39679</v>
      </c>
      <c r="H661" s="108" t="str">
        <f>CHOOSE(MONTH(G661),"January","February","March","April","May","June","July","August","September","October","November","December")</f>
        <v>August</v>
      </c>
      <c r="I661" s="54">
        <f ca="1">DATEDIF(G661,TODAY(),"Y")</f>
        <v>8</v>
      </c>
      <c r="J661" s="55" t="s">
        <v>257</v>
      </c>
      <c r="K661" s="56">
        <v>22820</v>
      </c>
      <c r="L661" s="57">
        <v>5</v>
      </c>
    </row>
    <row r="662" spans="1:12" ht="15" x14ac:dyDescent="0.25">
      <c r="A662" s="42" t="s">
        <v>508</v>
      </c>
      <c r="B662" s="49" t="s">
        <v>271</v>
      </c>
      <c r="C662" s="42" t="s">
        <v>930</v>
      </c>
      <c r="D662" s="75">
        <v>916944119</v>
      </c>
      <c r="E662" s="76">
        <v>2524907564</v>
      </c>
      <c r="F662" s="42" t="s">
        <v>247</v>
      </c>
      <c r="G662" s="111">
        <v>37099</v>
      </c>
      <c r="H662" s="108" t="str">
        <f>CHOOSE(MONTH(G662),"January","February","March","April","May","June","July","August","September","October","November","December")</f>
        <v>July</v>
      </c>
      <c r="I662" s="54">
        <f ca="1">DATEDIF(G662,TODAY(),"Y")</f>
        <v>15</v>
      </c>
      <c r="J662" s="55"/>
      <c r="K662" s="56">
        <v>28270</v>
      </c>
      <c r="L662" s="57">
        <v>5</v>
      </c>
    </row>
    <row r="663" spans="1:12" ht="15" x14ac:dyDescent="0.25">
      <c r="A663" s="42" t="s">
        <v>467</v>
      </c>
      <c r="B663" s="49" t="s">
        <v>245</v>
      </c>
      <c r="C663" s="42" t="s">
        <v>930</v>
      </c>
      <c r="D663" s="75">
        <v>877574472</v>
      </c>
      <c r="E663" s="76">
        <v>2524100997</v>
      </c>
      <c r="F663" s="42" t="s">
        <v>247</v>
      </c>
      <c r="G663" s="84">
        <v>33401</v>
      </c>
      <c r="H663" s="108" t="str">
        <f>CHOOSE(MONTH(G663),"January","February","March","April","May","June","July","August","September","October","November","December")</f>
        <v>June</v>
      </c>
      <c r="I663" s="54">
        <f ca="1">DATEDIF(G663,TODAY(),"Y")</f>
        <v>25</v>
      </c>
      <c r="J663" s="55"/>
      <c r="K663" s="56">
        <v>34680</v>
      </c>
      <c r="L663" s="57">
        <v>5</v>
      </c>
    </row>
    <row r="664" spans="1:12" ht="15" x14ac:dyDescent="0.25">
      <c r="A664" s="42" t="s">
        <v>536</v>
      </c>
      <c r="B664" s="49" t="s">
        <v>280</v>
      </c>
      <c r="C664" s="42" t="s">
        <v>930</v>
      </c>
      <c r="D664" s="75">
        <v>733358713</v>
      </c>
      <c r="E664" s="76">
        <v>9196648050</v>
      </c>
      <c r="F664" s="42" t="s">
        <v>247</v>
      </c>
      <c r="G664" s="84">
        <v>35338</v>
      </c>
      <c r="H664" s="108" t="str">
        <f>CHOOSE(MONTH(G664),"January","February","March","April","May","June","July","August","September","October","November","December")</f>
        <v>September</v>
      </c>
      <c r="I664" s="54">
        <f ca="1">DATEDIF(G664,TODAY(),"Y")</f>
        <v>20</v>
      </c>
      <c r="J664" s="55"/>
      <c r="K664" s="56">
        <v>87830</v>
      </c>
      <c r="L664" s="57">
        <v>2</v>
      </c>
    </row>
    <row r="665" spans="1:12" ht="15" x14ac:dyDescent="0.25">
      <c r="A665" s="48" t="s">
        <v>255</v>
      </c>
      <c r="B665" s="49" t="s">
        <v>285</v>
      </c>
      <c r="C665" s="42" t="s">
        <v>930</v>
      </c>
      <c r="D665" s="75">
        <v>546546374</v>
      </c>
      <c r="E665" s="76">
        <v>9192727944</v>
      </c>
      <c r="F665" s="42" t="s">
        <v>261</v>
      </c>
      <c r="G665" s="84">
        <v>36462</v>
      </c>
      <c r="H665" s="108" t="str">
        <f>CHOOSE(MONTH(G665),"January","February","March","April","May","June","July","August","September","October","November","December")</f>
        <v>October</v>
      </c>
      <c r="I665" s="54">
        <f ca="1">DATEDIF(G665,TODAY(),"Y")</f>
        <v>17</v>
      </c>
      <c r="J665" s="55" t="s">
        <v>283</v>
      </c>
      <c r="K665" s="56">
        <v>26185</v>
      </c>
      <c r="L665" s="57">
        <v>5</v>
      </c>
    </row>
    <row r="666" spans="1:12" ht="15" x14ac:dyDescent="0.25">
      <c r="A666" s="42" t="s">
        <v>815</v>
      </c>
      <c r="B666" s="49" t="s">
        <v>285</v>
      </c>
      <c r="C666" s="42" t="s">
        <v>930</v>
      </c>
      <c r="D666" s="75">
        <v>892040187</v>
      </c>
      <c r="E666" s="76">
        <v>2524877123</v>
      </c>
      <c r="F666" s="42" t="s">
        <v>256</v>
      </c>
      <c r="G666" s="84">
        <v>34286</v>
      </c>
      <c r="H666" s="108" t="str">
        <f>CHOOSE(MONTH(G666),"January","February","March","April","May","June","July","August","September","October","November","December")</f>
        <v>November</v>
      </c>
      <c r="I666" s="54">
        <f ca="1">DATEDIF(G666,TODAY(),"Y")</f>
        <v>22</v>
      </c>
      <c r="J666" s="55" t="s">
        <v>283</v>
      </c>
      <c r="K666" s="56">
        <v>87220</v>
      </c>
      <c r="L666" s="57">
        <v>1</v>
      </c>
    </row>
    <row r="667" spans="1:12" ht="15" x14ac:dyDescent="0.25">
      <c r="A667" s="42" t="s">
        <v>645</v>
      </c>
      <c r="B667" s="49" t="s">
        <v>271</v>
      </c>
      <c r="C667" s="42" t="s">
        <v>930</v>
      </c>
      <c r="D667" s="75">
        <v>671823263</v>
      </c>
      <c r="E667" s="76">
        <v>2526718651</v>
      </c>
      <c r="F667" s="42" t="s">
        <v>256</v>
      </c>
      <c r="G667" s="84">
        <v>40637</v>
      </c>
      <c r="H667" s="108" t="str">
        <f>CHOOSE(MONTH(G667),"January","February","March","April","May","June","July","August","September","October","November","December")</f>
        <v>April</v>
      </c>
      <c r="I667" s="54">
        <f ca="1">DATEDIF(G667,TODAY(),"Y")</f>
        <v>5</v>
      </c>
      <c r="J667" s="55" t="s">
        <v>257</v>
      </c>
      <c r="K667" s="56">
        <v>86640</v>
      </c>
      <c r="L667" s="57">
        <v>3</v>
      </c>
    </row>
    <row r="668" spans="1:12" ht="15" x14ac:dyDescent="0.25">
      <c r="A668" s="42" t="s">
        <v>883</v>
      </c>
      <c r="B668" s="49" t="s">
        <v>280</v>
      </c>
      <c r="C668" s="42" t="s">
        <v>930</v>
      </c>
      <c r="D668" s="75">
        <v>843299208</v>
      </c>
      <c r="E668" s="76">
        <v>9198631557</v>
      </c>
      <c r="F668" s="42" t="s">
        <v>261</v>
      </c>
      <c r="G668" s="84">
        <v>39535</v>
      </c>
      <c r="H668" s="108" t="str">
        <f>CHOOSE(MONTH(G668),"January","February","March","April","May","June","July","August","September","October","November","December")</f>
        <v>March</v>
      </c>
      <c r="I668" s="54">
        <f ca="1">DATEDIF(G668,TODAY(),"Y")</f>
        <v>8</v>
      </c>
      <c r="J668" s="55" t="s">
        <v>276</v>
      </c>
      <c r="K668" s="56">
        <v>49080</v>
      </c>
      <c r="L668" s="57">
        <v>5</v>
      </c>
    </row>
    <row r="669" spans="1:12" ht="15" x14ac:dyDescent="0.25">
      <c r="A669" s="42" t="s">
        <v>884</v>
      </c>
      <c r="B669" s="49" t="s">
        <v>266</v>
      </c>
      <c r="C669" s="42" t="s">
        <v>930</v>
      </c>
      <c r="D669" s="75">
        <v>941937371</v>
      </c>
      <c r="E669" s="76">
        <v>9195060466</v>
      </c>
      <c r="F669" s="42" t="s">
        <v>256</v>
      </c>
      <c r="G669" s="84">
        <v>35776</v>
      </c>
      <c r="H669" s="108" t="str">
        <f>CHOOSE(MONTH(G669),"January","February","March","April","May","June","July","August","September","October","November","December")</f>
        <v>December</v>
      </c>
      <c r="I669" s="54">
        <f ca="1">DATEDIF(G669,TODAY(),"Y")</f>
        <v>18</v>
      </c>
      <c r="J669" s="55" t="s">
        <v>257</v>
      </c>
      <c r="K669" s="56">
        <v>86320</v>
      </c>
      <c r="L669" s="57">
        <v>4</v>
      </c>
    </row>
    <row r="670" spans="1:12" ht="15" x14ac:dyDescent="0.25">
      <c r="A670" s="42" t="s">
        <v>721</v>
      </c>
      <c r="B670" s="49" t="s">
        <v>271</v>
      </c>
      <c r="C670" s="42" t="s">
        <v>930</v>
      </c>
      <c r="D670" s="75">
        <v>964255290</v>
      </c>
      <c r="E670" s="76">
        <v>9197446192</v>
      </c>
      <c r="F670" s="42" t="s">
        <v>256</v>
      </c>
      <c r="G670" s="84">
        <v>40018</v>
      </c>
      <c r="H670" s="108" t="str">
        <f>CHOOSE(MONTH(G670),"January","February","March","April","May","June","July","August","September","October","November","December")</f>
        <v>July</v>
      </c>
      <c r="I670" s="54">
        <f ca="1">DATEDIF(G670,TODAY(),"Y")</f>
        <v>7</v>
      </c>
      <c r="J670" s="55" t="s">
        <v>283</v>
      </c>
      <c r="K670" s="56">
        <v>34990</v>
      </c>
      <c r="L670" s="57">
        <v>3</v>
      </c>
    </row>
    <row r="671" spans="1:12" ht="15" x14ac:dyDescent="0.25">
      <c r="A671" s="42" t="s">
        <v>446</v>
      </c>
      <c r="B671" s="49" t="s">
        <v>245</v>
      </c>
      <c r="C671" s="42" t="s">
        <v>930</v>
      </c>
      <c r="D671" s="75">
        <v>667745362</v>
      </c>
      <c r="E671" s="76">
        <v>2522952173</v>
      </c>
      <c r="F671" s="42" t="s">
        <v>247</v>
      </c>
      <c r="G671" s="84">
        <v>39728</v>
      </c>
      <c r="H671" s="108" t="str">
        <f>CHOOSE(MONTH(G671),"January","February","March","April","May","June","July","August","September","October","November","December")</f>
        <v>October</v>
      </c>
      <c r="I671" s="54">
        <f ca="1">DATEDIF(G671,TODAY(),"Y")</f>
        <v>8</v>
      </c>
      <c r="J671" s="55"/>
      <c r="K671" s="56">
        <v>86040</v>
      </c>
      <c r="L671" s="57">
        <v>5</v>
      </c>
    </row>
    <row r="672" spans="1:12" ht="15" x14ac:dyDescent="0.25">
      <c r="A672" s="42" t="s">
        <v>693</v>
      </c>
      <c r="B672" s="49" t="s">
        <v>285</v>
      </c>
      <c r="C672" s="42" t="s">
        <v>930</v>
      </c>
      <c r="D672" s="75">
        <v>717503282</v>
      </c>
      <c r="E672" s="76">
        <v>2522400087</v>
      </c>
      <c r="F672" s="42" t="s">
        <v>247</v>
      </c>
      <c r="G672" s="84">
        <v>40523</v>
      </c>
      <c r="H672" s="108" t="str">
        <f>CHOOSE(MONTH(G672),"January","February","March","April","May","June","July","August","September","October","November","December")</f>
        <v>December</v>
      </c>
      <c r="I672" s="54">
        <f ca="1">DATEDIF(G672,TODAY(),"Y")</f>
        <v>5</v>
      </c>
      <c r="J672" s="55"/>
      <c r="K672" s="56">
        <v>46570</v>
      </c>
      <c r="L672" s="57">
        <v>4</v>
      </c>
    </row>
    <row r="673" spans="1:12" ht="15" x14ac:dyDescent="0.25">
      <c r="A673" s="42" t="s">
        <v>566</v>
      </c>
      <c r="B673" s="49" t="s">
        <v>280</v>
      </c>
      <c r="C673" s="42" t="s">
        <v>930</v>
      </c>
      <c r="D673" s="75">
        <v>364525917</v>
      </c>
      <c r="E673" s="76">
        <v>2522787318</v>
      </c>
      <c r="F673" s="42" t="s">
        <v>256</v>
      </c>
      <c r="G673" s="84">
        <v>33978</v>
      </c>
      <c r="H673" s="108" t="str">
        <f>CHOOSE(MONTH(G673),"January","February","March","April","May","June","July","August","September","October","November","December")</f>
        <v>January</v>
      </c>
      <c r="I673" s="54">
        <f ca="1">DATEDIF(G673,TODAY(),"Y")</f>
        <v>23</v>
      </c>
      <c r="J673" s="55" t="s">
        <v>283</v>
      </c>
      <c r="K673" s="56">
        <v>46410</v>
      </c>
      <c r="L673" s="57">
        <v>2</v>
      </c>
    </row>
    <row r="674" spans="1:12" ht="15" x14ac:dyDescent="0.25">
      <c r="A674" s="42" t="s">
        <v>576</v>
      </c>
      <c r="B674" s="49" t="s">
        <v>245</v>
      </c>
      <c r="C674" s="42" t="s">
        <v>930</v>
      </c>
      <c r="D674" s="75">
        <v>502580266</v>
      </c>
      <c r="E674" s="76">
        <v>9197103200</v>
      </c>
      <c r="F674" s="42" t="s">
        <v>252</v>
      </c>
      <c r="G674" s="84">
        <v>38646</v>
      </c>
      <c r="H674" s="108" t="str">
        <f>CHOOSE(MONTH(G674),"January","February","March","April","May","June","July","August","September","October","November","December")</f>
        <v>October</v>
      </c>
      <c r="I674" s="54">
        <f ca="1">DATEDIF(G674,TODAY(),"Y")</f>
        <v>11</v>
      </c>
      <c r="J674" s="55"/>
      <c r="K674" s="56">
        <v>37344</v>
      </c>
      <c r="L674" s="57">
        <v>2</v>
      </c>
    </row>
    <row r="675" spans="1:12" ht="15" x14ac:dyDescent="0.25">
      <c r="A675" s="42" t="s">
        <v>664</v>
      </c>
      <c r="B675" s="49" t="s">
        <v>285</v>
      </c>
      <c r="C675" s="42" t="s">
        <v>930</v>
      </c>
      <c r="D675" s="75">
        <v>458734969</v>
      </c>
      <c r="E675" s="76">
        <v>9196354278</v>
      </c>
      <c r="F675" s="42" t="s">
        <v>256</v>
      </c>
      <c r="G675" s="84">
        <v>39728</v>
      </c>
      <c r="H675" s="108" t="str">
        <f>CHOOSE(MONTH(G675),"January","February","March","April","May","June","July","August","September","October","November","December")</f>
        <v>October</v>
      </c>
      <c r="I675" s="54">
        <f ca="1">DATEDIF(G675,TODAY(),"Y")</f>
        <v>8</v>
      </c>
      <c r="J675" s="55" t="s">
        <v>257</v>
      </c>
      <c r="K675" s="56">
        <v>82370</v>
      </c>
      <c r="L675" s="57">
        <v>5</v>
      </c>
    </row>
    <row r="676" spans="1:12" ht="15" x14ac:dyDescent="0.25">
      <c r="A676" s="42" t="s">
        <v>295</v>
      </c>
      <c r="B676" s="49" t="s">
        <v>245</v>
      </c>
      <c r="C676" s="42" t="s">
        <v>930</v>
      </c>
      <c r="D676" s="75">
        <v>683670378</v>
      </c>
      <c r="E676" s="76">
        <v>9196259106</v>
      </c>
      <c r="F676" s="42" t="s">
        <v>256</v>
      </c>
      <c r="G676" s="84">
        <v>38347</v>
      </c>
      <c r="H676" s="108" t="str">
        <f>CHOOSE(MONTH(G676),"January","February","March","April","May","June","July","August","September","October","November","December")</f>
        <v>December</v>
      </c>
      <c r="I676" s="54">
        <f ca="1">DATEDIF(G676,TODAY(),"Y")</f>
        <v>11</v>
      </c>
      <c r="J676" s="55" t="s">
        <v>283</v>
      </c>
      <c r="K676" s="56">
        <v>81340</v>
      </c>
      <c r="L676" s="57">
        <v>2</v>
      </c>
    </row>
    <row r="677" spans="1:12" ht="15" x14ac:dyDescent="0.25">
      <c r="A677" s="42" t="s">
        <v>298</v>
      </c>
      <c r="B677" s="49" t="s">
        <v>285</v>
      </c>
      <c r="C677" s="42" t="s">
        <v>930</v>
      </c>
      <c r="D677" s="75">
        <v>794814501</v>
      </c>
      <c r="E677" s="76">
        <v>2525604891</v>
      </c>
      <c r="F677" s="42" t="s">
        <v>247</v>
      </c>
      <c r="G677" s="84">
        <v>40235</v>
      </c>
      <c r="H677" s="108" t="str">
        <f>CHOOSE(MONTH(G677),"January","February","March","April","May","June","July","August","September","October","November","December")</f>
        <v>February</v>
      </c>
      <c r="I677" s="54">
        <f ca="1">DATEDIF(G677,TODAY(),"Y")</f>
        <v>6</v>
      </c>
      <c r="J677" s="55"/>
      <c r="K677" s="56">
        <v>80729</v>
      </c>
      <c r="L677" s="57">
        <v>3</v>
      </c>
    </row>
    <row r="678" spans="1:12" ht="15" x14ac:dyDescent="0.25">
      <c r="A678" s="42" t="s">
        <v>520</v>
      </c>
      <c r="B678" s="49" t="s">
        <v>285</v>
      </c>
      <c r="C678" s="42" t="s">
        <v>930</v>
      </c>
      <c r="D678" s="75">
        <v>324069262</v>
      </c>
      <c r="E678" s="76">
        <v>2525459665</v>
      </c>
      <c r="F678" s="42" t="s">
        <v>247</v>
      </c>
      <c r="G678" s="84">
        <v>34534</v>
      </c>
      <c r="H678" s="108" t="str">
        <f>CHOOSE(MONTH(G678),"January","February","March","April","May","June","July","August","September","October","November","December")</f>
        <v>July</v>
      </c>
      <c r="I678" s="54">
        <f ca="1">DATEDIF(G678,TODAY(),"Y")</f>
        <v>22</v>
      </c>
      <c r="J678" s="55"/>
      <c r="K678" s="56">
        <v>45105</v>
      </c>
      <c r="L678" s="57">
        <v>1</v>
      </c>
    </row>
    <row r="679" spans="1:12" ht="15" x14ac:dyDescent="0.25">
      <c r="A679" s="42" t="s">
        <v>938</v>
      </c>
      <c r="B679" s="49" t="s">
        <v>285</v>
      </c>
      <c r="C679" s="42" t="s">
        <v>930</v>
      </c>
      <c r="D679" s="75">
        <v>483483618</v>
      </c>
      <c r="E679" s="76">
        <v>2526459263</v>
      </c>
      <c r="F679" s="42" t="s">
        <v>256</v>
      </c>
      <c r="G679" s="84">
        <v>35137</v>
      </c>
      <c r="H679" s="108" t="str">
        <f>CHOOSE(MONTH(G679),"January","February","March","April","May","June","July","August","September","October","November","December")</f>
        <v>March</v>
      </c>
      <c r="I679" s="54">
        <f ca="1">DATEDIF(G679,TODAY(),"Y")</f>
        <v>20</v>
      </c>
      <c r="J679" s="55" t="s">
        <v>283</v>
      </c>
      <c r="K679" s="56">
        <v>33590</v>
      </c>
      <c r="L679" s="57">
        <v>5</v>
      </c>
    </row>
    <row r="680" spans="1:12" ht="15" x14ac:dyDescent="0.25">
      <c r="A680" s="42" t="s">
        <v>986</v>
      </c>
      <c r="B680" s="49" t="s">
        <v>245</v>
      </c>
      <c r="C680" s="42" t="s">
        <v>930</v>
      </c>
      <c r="D680" s="75">
        <v>210491464</v>
      </c>
      <c r="E680" s="76">
        <v>9198405552</v>
      </c>
      <c r="F680" s="42" t="s">
        <v>256</v>
      </c>
      <c r="G680" s="84">
        <v>39602</v>
      </c>
      <c r="H680" s="108" t="str">
        <f>CHOOSE(MONTH(G680),"January","February","March","April","May","June","July","August","September","October","November","December")</f>
        <v>June</v>
      </c>
      <c r="I680" s="54">
        <f ca="1">DATEDIF(G680,TODAY(),"Y")</f>
        <v>8</v>
      </c>
      <c r="J680" s="55" t="s">
        <v>257</v>
      </c>
      <c r="K680" s="56">
        <v>79380</v>
      </c>
      <c r="L680" s="57">
        <v>5</v>
      </c>
    </row>
    <row r="681" spans="1:12" ht="15" x14ac:dyDescent="0.25">
      <c r="A681" s="42" t="s">
        <v>284</v>
      </c>
      <c r="B681" s="49" t="s">
        <v>271</v>
      </c>
      <c r="C681" s="42" t="s">
        <v>930</v>
      </c>
      <c r="D681" s="75">
        <v>418701946</v>
      </c>
      <c r="E681" s="76">
        <v>2524141191</v>
      </c>
      <c r="F681" s="42" t="s">
        <v>261</v>
      </c>
      <c r="G681" s="84">
        <v>34154</v>
      </c>
      <c r="H681" s="108" t="str">
        <f>CHOOSE(MONTH(G681),"January","February","March","April","May","June","July","August","September","October","November","December")</f>
        <v>July</v>
      </c>
      <c r="I681" s="54">
        <f ca="1">DATEDIF(G681,TODAY(),"Y")</f>
        <v>23</v>
      </c>
      <c r="J681" s="55" t="s">
        <v>257</v>
      </c>
      <c r="K681" s="56">
        <v>49545</v>
      </c>
      <c r="L681" s="57">
        <v>2</v>
      </c>
    </row>
    <row r="682" spans="1:12" ht="15" x14ac:dyDescent="0.25">
      <c r="A682" s="42" t="s">
        <v>517</v>
      </c>
      <c r="B682" s="49" t="s">
        <v>251</v>
      </c>
      <c r="C682" s="42" t="s">
        <v>930</v>
      </c>
      <c r="D682" s="75">
        <v>759471070</v>
      </c>
      <c r="E682" s="76">
        <v>2525402828</v>
      </c>
      <c r="F682" s="42" t="s">
        <v>256</v>
      </c>
      <c r="G682" s="84">
        <v>37009</v>
      </c>
      <c r="H682" s="108" t="str">
        <f>CHOOSE(MONTH(G682),"January","February","March","April","May","June","July","August","September","October","November","December")</f>
        <v>April</v>
      </c>
      <c r="I682" s="54">
        <f ca="1">DATEDIF(G682,TODAY(),"Y")</f>
        <v>15</v>
      </c>
      <c r="J682" s="55" t="s">
        <v>283</v>
      </c>
      <c r="K682" s="56">
        <v>78710</v>
      </c>
      <c r="L682" s="57">
        <v>2</v>
      </c>
    </row>
    <row r="683" spans="1:12" ht="15" x14ac:dyDescent="0.25">
      <c r="A683" s="42" t="s">
        <v>1059</v>
      </c>
      <c r="B683" s="49" t="s">
        <v>280</v>
      </c>
      <c r="C683" s="42" t="s">
        <v>930</v>
      </c>
      <c r="D683" s="75">
        <v>641962645</v>
      </c>
      <c r="E683" s="76">
        <v>9196965088</v>
      </c>
      <c r="F683" s="42" t="s">
        <v>247</v>
      </c>
      <c r="G683" s="84">
        <v>34135</v>
      </c>
      <c r="H683" s="108" t="str">
        <f>CHOOSE(MONTH(G683),"January","February","March","April","May","June","July","August","September","October","November","December")</f>
        <v>June</v>
      </c>
      <c r="I683" s="54">
        <f ca="1">DATEDIF(G683,TODAY(),"Y")</f>
        <v>23</v>
      </c>
      <c r="J683" s="55"/>
      <c r="K683" s="56">
        <v>78590</v>
      </c>
      <c r="L683" s="57">
        <v>1</v>
      </c>
    </row>
    <row r="684" spans="1:12" ht="15" x14ac:dyDescent="0.25">
      <c r="A684" s="42" t="s">
        <v>981</v>
      </c>
      <c r="B684" s="49" t="s">
        <v>251</v>
      </c>
      <c r="C684" s="42" t="s">
        <v>930</v>
      </c>
      <c r="D684" s="75">
        <v>900160539</v>
      </c>
      <c r="E684" s="76">
        <v>2522749909</v>
      </c>
      <c r="F684" s="42" t="s">
        <v>261</v>
      </c>
      <c r="G684" s="84">
        <v>36365</v>
      </c>
      <c r="H684" s="108" t="str">
        <f>CHOOSE(MONTH(G684),"January","February","March","April","May","June","July","August","September","October","November","December")</f>
        <v>July</v>
      </c>
      <c r="I684" s="54">
        <f ca="1">DATEDIF(G684,TODAY(),"Y")</f>
        <v>17</v>
      </c>
      <c r="J684" s="55" t="s">
        <v>267</v>
      </c>
      <c r="K684" s="56">
        <v>19825</v>
      </c>
      <c r="L684" s="57">
        <v>2</v>
      </c>
    </row>
    <row r="685" spans="1:12" ht="15" x14ac:dyDescent="0.25">
      <c r="A685" s="42" t="s">
        <v>598</v>
      </c>
      <c r="B685" s="49" t="s">
        <v>285</v>
      </c>
      <c r="C685" s="42" t="s">
        <v>930</v>
      </c>
      <c r="D685" s="75">
        <v>277423593</v>
      </c>
      <c r="E685" s="76">
        <v>9195790921</v>
      </c>
      <c r="F685" s="42" t="s">
        <v>261</v>
      </c>
      <c r="G685" s="84">
        <v>33391</v>
      </c>
      <c r="H685" s="108" t="str">
        <f>CHOOSE(MONTH(G685),"January","February","March","April","May","June","July","August","September","October","November","December")</f>
        <v>June</v>
      </c>
      <c r="I685" s="54">
        <f ca="1">DATEDIF(G685,TODAY(),"Y")</f>
        <v>25</v>
      </c>
      <c r="J685" s="55" t="s">
        <v>283</v>
      </c>
      <c r="K685" s="56">
        <v>13455</v>
      </c>
      <c r="L685" s="57">
        <v>2</v>
      </c>
    </row>
    <row r="686" spans="1:12" ht="15" x14ac:dyDescent="0.25">
      <c r="A686" s="42" t="s">
        <v>395</v>
      </c>
      <c r="B686" s="49" t="s">
        <v>285</v>
      </c>
      <c r="C686" s="42" t="s">
        <v>930</v>
      </c>
      <c r="D686" s="75">
        <v>101829876</v>
      </c>
      <c r="E686" s="76">
        <v>2522552565</v>
      </c>
      <c r="F686" s="42" t="s">
        <v>252</v>
      </c>
      <c r="G686" s="84">
        <v>35247</v>
      </c>
      <c r="H686" s="108" t="str">
        <f>CHOOSE(MONTH(G686),"January","February","March","April","May","June","July","August","September","October","November","December")</f>
        <v>July</v>
      </c>
      <c r="I686" s="54">
        <f ca="1">DATEDIF(G686,TODAY(),"Y")</f>
        <v>20</v>
      </c>
      <c r="J686" s="55"/>
      <c r="K686" s="56">
        <v>33752</v>
      </c>
      <c r="L686" s="57">
        <v>3</v>
      </c>
    </row>
    <row r="687" spans="1:12" ht="15" x14ac:dyDescent="0.25">
      <c r="A687" s="42" t="s">
        <v>567</v>
      </c>
      <c r="B687" s="49" t="s">
        <v>285</v>
      </c>
      <c r="C687" s="42" t="s">
        <v>930</v>
      </c>
      <c r="D687" s="75">
        <v>296641985</v>
      </c>
      <c r="E687" s="76">
        <v>2528217409</v>
      </c>
      <c r="F687" s="42" t="s">
        <v>256</v>
      </c>
      <c r="G687" s="84">
        <v>35627</v>
      </c>
      <c r="H687" s="108" t="str">
        <f>CHOOSE(MONTH(G687),"January","February","March","April","May","June","July","August","September","October","November","December")</f>
        <v>July</v>
      </c>
      <c r="I687" s="54">
        <f ca="1">DATEDIF(G687,TODAY(),"Y")</f>
        <v>19</v>
      </c>
      <c r="J687" s="55" t="s">
        <v>283</v>
      </c>
      <c r="K687" s="56">
        <v>41380</v>
      </c>
      <c r="L687" s="57">
        <v>2</v>
      </c>
    </row>
    <row r="688" spans="1:12" ht="15" x14ac:dyDescent="0.25">
      <c r="A688" s="42" t="s">
        <v>366</v>
      </c>
      <c r="B688" s="49" t="s">
        <v>280</v>
      </c>
      <c r="C688" s="42" t="s">
        <v>930</v>
      </c>
      <c r="D688" s="75">
        <v>311309049</v>
      </c>
      <c r="E688" s="76">
        <v>2527560634</v>
      </c>
      <c r="F688" s="42" t="s">
        <v>256</v>
      </c>
      <c r="G688" s="84">
        <v>36243</v>
      </c>
      <c r="H688" s="108" t="str">
        <f>CHOOSE(MONTH(G688),"January","February","March","April","May","June","July","August","September","October","November","December")</f>
        <v>March</v>
      </c>
      <c r="I688" s="54">
        <f ca="1">DATEDIF(G688,TODAY(),"Y")</f>
        <v>17</v>
      </c>
      <c r="J688" s="55" t="s">
        <v>276</v>
      </c>
      <c r="K688" s="56">
        <v>77680</v>
      </c>
      <c r="L688" s="57">
        <v>3</v>
      </c>
    </row>
    <row r="689" spans="1:12" ht="15" x14ac:dyDescent="0.25">
      <c r="A689" s="42" t="s">
        <v>463</v>
      </c>
      <c r="B689" s="49" t="s">
        <v>266</v>
      </c>
      <c r="C689" s="42" t="s">
        <v>930</v>
      </c>
      <c r="D689" s="75">
        <v>592709648</v>
      </c>
      <c r="E689" s="76">
        <v>9191797370</v>
      </c>
      <c r="F689" s="42" t="s">
        <v>247</v>
      </c>
      <c r="G689" s="84">
        <v>37065</v>
      </c>
      <c r="H689" s="108" t="str">
        <f>CHOOSE(MONTH(G689),"January","February","March","April","May","June","July","August","September","October","November","December")</f>
        <v>June</v>
      </c>
      <c r="I689" s="54">
        <f ca="1">DATEDIF(G689,TODAY(),"Y")</f>
        <v>15</v>
      </c>
      <c r="J689" s="55"/>
      <c r="K689" s="56">
        <v>77136</v>
      </c>
      <c r="L689" s="57">
        <v>5</v>
      </c>
    </row>
    <row r="690" spans="1:12" ht="15" x14ac:dyDescent="0.25">
      <c r="A690" s="42" t="s">
        <v>746</v>
      </c>
      <c r="B690" s="49" t="s">
        <v>266</v>
      </c>
      <c r="C690" s="42" t="s">
        <v>930</v>
      </c>
      <c r="D690" s="75">
        <v>147683641</v>
      </c>
      <c r="E690" s="76">
        <v>9191657646</v>
      </c>
      <c r="F690" s="42" t="s">
        <v>247</v>
      </c>
      <c r="G690" s="112">
        <v>40334</v>
      </c>
      <c r="H690" s="108" t="str">
        <f>CHOOSE(MONTH(G690),"January","February","March","April","May","June","July","August","September","October","November","December")</f>
        <v>June</v>
      </c>
      <c r="I690" s="54">
        <f ca="1">DATEDIF(G690,TODAY(),"Y")</f>
        <v>6</v>
      </c>
      <c r="J690" s="55"/>
      <c r="K690" s="56">
        <v>47280</v>
      </c>
      <c r="L690" s="57">
        <v>1</v>
      </c>
    </row>
    <row r="691" spans="1:12" ht="15" x14ac:dyDescent="0.25">
      <c r="A691" s="42" t="s">
        <v>996</v>
      </c>
      <c r="B691" s="49" t="s">
        <v>280</v>
      </c>
      <c r="C691" s="42" t="s">
        <v>930</v>
      </c>
      <c r="D691" s="75">
        <v>749768847</v>
      </c>
      <c r="E691" s="76">
        <v>2528552110</v>
      </c>
      <c r="F691" s="42" t="s">
        <v>247</v>
      </c>
      <c r="G691" s="84">
        <v>35280</v>
      </c>
      <c r="H691" s="108" t="str">
        <f>CHOOSE(MONTH(G691),"January","February","March","April","May","June","July","August","September","October","November","December")</f>
        <v>August</v>
      </c>
      <c r="I691" s="54">
        <f ca="1">DATEDIF(G691,TODAY(),"Y")</f>
        <v>20</v>
      </c>
      <c r="J691" s="55"/>
      <c r="K691" s="56">
        <v>41770</v>
      </c>
      <c r="L691" s="57">
        <v>5</v>
      </c>
    </row>
    <row r="692" spans="1:12" ht="15" x14ac:dyDescent="0.25">
      <c r="A692" s="42" t="s">
        <v>859</v>
      </c>
      <c r="B692" s="49" t="s">
        <v>251</v>
      </c>
      <c r="C692" s="42" t="s">
        <v>930</v>
      </c>
      <c r="D692" s="75">
        <v>688769770</v>
      </c>
      <c r="E692" s="76">
        <v>9192416398</v>
      </c>
      <c r="F692" s="42" t="s">
        <v>256</v>
      </c>
      <c r="G692" s="84">
        <v>38626</v>
      </c>
      <c r="H692" s="108" t="str">
        <f>CHOOSE(MONTH(G692),"January","February","March","April","May","June","July","August","September","October","November","December")</f>
        <v>October</v>
      </c>
      <c r="I692" s="54">
        <f ca="1">DATEDIF(G692,TODAY(),"Y")</f>
        <v>11</v>
      </c>
      <c r="J692" s="55" t="s">
        <v>257</v>
      </c>
      <c r="K692" s="56">
        <v>44530</v>
      </c>
      <c r="L692" s="57">
        <v>2</v>
      </c>
    </row>
    <row r="693" spans="1:12" ht="15" x14ac:dyDescent="0.25">
      <c r="A693" s="42" t="s">
        <v>452</v>
      </c>
      <c r="B693" s="49" t="s">
        <v>285</v>
      </c>
      <c r="C693" s="42" t="s">
        <v>930</v>
      </c>
      <c r="D693" s="75">
        <v>763182349</v>
      </c>
      <c r="E693" s="76">
        <v>2527780776</v>
      </c>
      <c r="F693" s="42" t="s">
        <v>247</v>
      </c>
      <c r="G693" s="84">
        <v>34126</v>
      </c>
      <c r="H693" s="108" t="str">
        <f>CHOOSE(MONTH(G693),"January","February","March","April","May","June","July","August","September","October","November","December")</f>
        <v>June</v>
      </c>
      <c r="I693" s="54">
        <f ca="1">DATEDIF(G693,TODAY(),"Y")</f>
        <v>23</v>
      </c>
      <c r="J693" s="55"/>
      <c r="K693" s="56">
        <v>75550</v>
      </c>
      <c r="L693" s="57">
        <v>3</v>
      </c>
    </row>
    <row r="694" spans="1:12" ht="15" x14ac:dyDescent="0.25">
      <c r="A694" s="42" t="s">
        <v>540</v>
      </c>
      <c r="B694" s="49" t="s">
        <v>266</v>
      </c>
      <c r="C694" s="42" t="s">
        <v>930</v>
      </c>
      <c r="D694" s="75">
        <v>758001890</v>
      </c>
      <c r="E694" s="76">
        <v>2521202348</v>
      </c>
      <c r="F694" s="42" t="s">
        <v>261</v>
      </c>
      <c r="G694" s="84">
        <v>35297</v>
      </c>
      <c r="H694" s="108" t="str">
        <f>CHOOSE(MONTH(G694),"January","February","March","April","May","June","July","August","September","October","November","December")</f>
        <v>August</v>
      </c>
      <c r="I694" s="54">
        <f ca="1">DATEDIF(G694,TODAY(),"Y")</f>
        <v>20</v>
      </c>
      <c r="J694" s="55" t="s">
        <v>283</v>
      </c>
      <c r="K694" s="56">
        <v>38105</v>
      </c>
      <c r="L694" s="57">
        <v>2</v>
      </c>
    </row>
    <row r="695" spans="1:12" ht="15" x14ac:dyDescent="0.25">
      <c r="A695" s="42" t="s">
        <v>982</v>
      </c>
      <c r="B695" s="49" t="s">
        <v>285</v>
      </c>
      <c r="C695" s="42" t="s">
        <v>930</v>
      </c>
      <c r="D695" s="75">
        <v>904497673</v>
      </c>
      <c r="E695" s="76">
        <v>2521277028</v>
      </c>
      <c r="F695" s="42" t="s">
        <v>247</v>
      </c>
      <c r="G695" s="84">
        <v>33144</v>
      </c>
      <c r="H695" s="108" t="str">
        <f>CHOOSE(MONTH(G695),"January","February","March","April","May","June","July","August","September","October","November","December")</f>
        <v>September</v>
      </c>
      <c r="I695" s="54">
        <f ca="1">DATEDIF(G695,TODAY(),"Y")</f>
        <v>26</v>
      </c>
      <c r="J695" s="55"/>
      <c r="K695" s="56">
        <v>23340</v>
      </c>
      <c r="L695" s="57">
        <v>4</v>
      </c>
    </row>
    <row r="696" spans="1:12" ht="15" x14ac:dyDescent="0.25">
      <c r="A696" s="42" t="s">
        <v>1011</v>
      </c>
      <c r="B696" s="49" t="s">
        <v>280</v>
      </c>
      <c r="C696" s="42" t="s">
        <v>930</v>
      </c>
      <c r="D696" s="75">
        <v>658842625</v>
      </c>
      <c r="E696" s="76">
        <v>9193788281</v>
      </c>
      <c r="F696" s="42" t="s">
        <v>261</v>
      </c>
      <c r="G696" s="84">
        <v>36053</v>
      </c>
      <c r="H696" s="108" t="str">
        <f>CHOOSE(MONTH(G696),"January","February","March","April","May","June","July","August","September","October","November","December")</f>
        <v>September</v>
      </c>
      <c r="I696" s="54">
        <f ca="1">DATEDIF(G696,TODAY(),"Y")</f>
        <v>18</v>
      </c>
      <c r="J696" s="55" t="s">
        <v>276</v>
      </c>
      <c r="K696" s="56">
        <v>46105</v>
      </c>
      <c r="L696" s="57">
        <v>5</v>
      </c>
    </row>
    <row r="697" spans="1:12" ht="15" x14ac:dyDescent="0.25">
      <c r="A697" s="42" t="s">
        <v>442</v>
      </c>
      <c r="B697" s="49" t="s">
        <v>271</v>
      </c>
      <c r="C697" s="42" t="s">
        <v>930</v>
      </c>
      <c r="D697" s="75">
        <v>318723704</v>
      </c>
      <c r="E697" s="76">
        <v>9196526117</v>
      </c>
      <c r="F697" s="42" t="s">
        <v>256</v>
      </c>
      <c r="G697" s="84">
        <v>34425</v>
      </c>
      <c r="H697" s="108" t="str">
        <f>CHOOSE(MONTH(G697),"January","February","March","April","May","June","July","August","September","October","November","December")</f>
        <v>April</v>
      </c>
      <c r="I697" s="54">
        <f ca="1">DATEDIF(G697,TODAY(),"Y")</f>
        <v>22</v>
      </c>
      <c r="J697" s="55" t="s">
        <v>283</v>
      </c>
      <c r="K697" s="56">
        <v>73850</v>
      </c>
      <c r="L697" s="57">
        <v>2</v>
      </c>
    </row>
    <row r="698" spans="1:12" ht="15" x14ac:dyDescent="0.25">
      <c r="A698" s="42" t="s">
        <v>297</v>
      </c>
      <c r="B698" s="49" t="s">
        <v>285</v>
      </c>
      <c r="C698" s="42" t="s">
        <v>930</v>
      </c>
      <c r="D698" s="75">
        <v>894855096</v>
      </c>
      <c r="E698" s="76">
        <v>9193936198</v>
      </c>
      <c r="F698" s="42" t="s">
        <v>261</v>
      </c>
      <c r="G698" s="84">
        <v>35466</v>
      </c>
      <c r="H698" s="108" t="str">
        <f>CHOOSE(MONTH(G698),"January","February","March","April","May","June","July","August","September","October","November","December")</f>
        <v>February</v>
      </c>
      <c r="I698" s="54">
        <f ca="1">DATEDIF(G698,TODAY(),"Y")</f>
        <v>19</v>
      </c>
      <c r="J698" s="55" t="s">
        <v>262</v>
      </c>
      <c r="K698" s="56">
        <v>37660</v>
      </c>
      <c r="L698" s="57">
        <v>4</v>
      </c>
    </row>
    <row r="699" spans="1:12" ht="15" x14ac:dyDescent="0.25">
      <c r="A699" s="42" t="s">
        <v>350</v>
      </c>
      <c r="B699" s="49" t="s">
        <v>285</v>
      </c>
      <c r="C699" s="42" t="s">
        <v>930</v>
      </c>
      <c r="D699" s="75">
        <v>186346711</v>
      </c>
      <c r="E699" s="76">
        <v>9194900514</v>
      </c>
      <c r="F699" s="42" t="s">
        <v>256</v>
      </c>
      <c r="G699" s="84">
        <v>36619</v>
      </c>
      <c r="H699" s="108" t="str">
        <f>CHOOSE(MONTH(G699),"January","February","March","April","May","June","July","August","September","October","November","December")</f>
        <v>April</v>
      </c>
      <c r="I699" s="54">
        <f ca="1">DATEDIF(G699,TODAY(),"Y")</f>
        <v>16</v>
      </c>
      <c r="J699" s="55" t="s">
        <v>262</v>
      </c>
      <c r="K699" s="56">
        <v>71970</v>
      </c>
      <c r="L699" s="57">
        <v>4</v>
      </c>
    </row>
    <row r="700" spans="1:12" ht="15" x14ac:dyDescent="0.25">
      <c r="A700" s="42" t="s">
        <v>308</v>
      </c>
      <c r="B700" s="49" t="s">
        <v>251</v>
      </c>
      <c r="C700" s="42" t="s">
        <v>930</v>
      </c>
      <c r="D700" s="75">
        <v>799754905</v>
      </c>
      <c r="E700" s="76">
        <v>2526757210</v>
      </c>
      <c r="F700" s="42" t="s">
        <v>256</v>
      </c>
      <c r="G700" s="84">
        <v>35307</v>
      </c>
      <c r="H700" s="108" t="str">
        <f>CHOOSE(MONTH(G700),"January","February","March","April","May","June","July","August","September","October","November","December")</f>
        <v>August</v>
      </c>
      <c r="I700" s="54">
        <f ca="1">DATEDIF(G700,TODAY(),"Y")</f>
        <v>20</v>
      </c>
      <c r="J700" s="55" t="s">
        <v>257</v>
      </c>
      <c r="K700" s="56">
        <v>31690</v>
      </c>
      <c r="L700" s="57">
        <v>4</v>
      </c>
    </row>
    <row r="701" spans="1:12" ht="15" x14ac:dyDescent="0.25">
      <c r="A701" s="42" t="s">
        <v>289</v>
      </c>
      <c r="B701" s="49" t="s">
        <v>285</v>
      </c>
      <c r="C701" s="42" t="s">
        <v>930</v>
      </c>
      <c r="D701" s="75">
        <v>862698919</v>
      </c>
      <c r="E701" s="76">
        <v>2522780847</v>
      </c>
      <c r="F701" s="42" t="s">
        <v>256</v>
      </c>
      <c r="G701" s="84">
        <v>38328</v>
      </c>
      <c r="H701" s="108" t="str">
        <f>CHOOSE(MONTH(G701),"January","February","March","April","May","June","July","August","September","October","November","December")</f>
        <v>December</v>
      </c>
      <c r="I701" s="54">
        <f ca="1">DATEDIF(G701,TODAY(),"Y")</f>
        <v>11</v>
      </c>
      <c r="J701" s="55" t="s">
        <v>262</v>
      </c>
      <c r="K701" s="56">
        <v>48280</v>
      </c>
      <c r="L701" s="57">
        <v>4</v>
      </c>
    </row>
    <row r="702" spans="1:12" ht="15" x14ac:dyDescent="0.25">
      <c r="A702" s="42" t="s">
        <v>487</v>
      </c>
      <c r="B702" s="49" t="s">
        <v>266</v>
      </c>
      <c r="C702" s="42" t="s">
        <v>930</v>
      </c>
      <c r="D702" s="75">
        <v>929694686</v>
      </c>
      <c r="E702" s="76">
        <v>9194483888</v>
      </c>
      <c r="F702" s="42" t="s">
        <v>256</v>
      </c>
      <c r="G702" s="106">
        <v>40536</v>
      </c>
      <c r="H702" s="108" t="str">
        <f>CHOOSE(MONTH(G702),"January","February","March","April","May","June","July","August","September","October","November","December")</f>
        <v>December</v>
      </c>
      <c r="I702" s="54">
        <f ca="1">DATEDIF(G702,TODAY(),"Y")</f>
        <v>5</v>
      </c>
      <c r="J702" s="55" t="s">
        <v>283</v>
      </c>
      <c r="K702" s="56">
        <v>70730</v>
      </c>
      <c r="L702" s="57">
        <v>1</v>
      </c>
    </row>
    <row r="703" spans="1:12" ht="15" x14ac:dyDescent="0.25">
      <c r="A703" s="42" t="s">
        <v>643</v>
      </c>
      <c r="B703" s="49" t="s">
        <v>245</v>
      </c>
      <c r="C703" s="42" t="s">
        <v>930</v>
      </c>
      <c r="D703" s="75">
        <v>610340294</v>
      </c>
      <c r="E703" s="76">
        <v>9198443818</v>
      </c>
      <c r="F703" s="42" t="s">
        <v>247</v>
      </c>
      <c r="G703" s="84">
        <v>33820</v>
      </c>
      <c r="H703" s="108" t="str">
        <f>CHOOSE(MONTH(G703),"January","February","March","April","May","June","July","August","September","October","November","December")</f>
        <v>August</v>
      </c>
      <c r="I703" s="54">
        <f ca="1">DATEDIF(G703,TODAY(),"Y")</f>
        <v>24</v>
      </c>
      <c r="J703" s="55"/>
      <c r="K703" s="56">
        <v>70300</v>
      </c>
      <c r="L703" s="57">
        <v>3</v>
      </c>
    </row>
    <row r="704" spans="1:12" ht="15" x14ac:dyDescent="0.25">
      <c r="A704" s="42" t="s">
        <v>919</v>
      </c>
      <c r="B704" s="49" t="s">
        <v>285</v>
      </c>
      <c r="C704" s="42" t="s">
        <v>930</v>
      </c>
      <c r="D704" s="75">
        <v>240241467</v>
      </c>
      <c r="E704" s="76">
        <v>2524914916</v>
      </c>
      <c r="F704" s="42" t="s">
        <v>252</v>
      </c>
      <c r="G704" s="84">
        <v>35576</v>
      </c>
      <c r="H704" s="108" t="str">
        <f>CHOOSE(MONTH(G704),"January","February","March","April","May","June","July","August","September","October","November","December")</f>
        <v>May</v>
      </c>
      <c r="I704" s="54">
        <f ca="1">DATEDIF(G704,TODAY(),"Y")</f>
        <v>19</v>
      </c>
      <c r="J704" s="55"/>
      <c r="K704" s="56">
        <v>28768</v>
      </c>
      <c r="L704" s="57">
        <v>3</v>
      </c>
    </row>
    <row r="705" spans="1:12" ht="15" x14ac:dyDescent="0.25">
      <c r="A705" s="42" t="s">
        <v>777</v>
      </c>
      <c r="B705" s="49" t="s">
        <v>280</v>
      </c>
      <c r="C705" s="42" t="s">
        <v>930</v>
      </c>
      <c r="D705" s="75">
        <v>426812736</v>
      </c>
      <c r="E705" s="76">
        <v>9198399625</v>
      </c>
      <c r="F705" s="42" t="s">
        <v>247</v>
      </c>
      <c r="G705" s="84">
        <v>34159</v>
      </c>
      <c r="H705" s="108" t="str">
        <f>CHOOSE(MONTH(G705),"January","February","March","April","May","June","July","August","September","October","November","December")</f>
        <v>July</v>
      </c>
      <c r="I705" s="54">
        <f ca="1">DATEDIF(G705,TODAY(),"Y")</f>
        <v>23</v>
      </c>
      <c r="J705" s="55"/>
      <c r="K705" s="56">
        <v>35240</v>
      </c>
      <c r="L705" s="57">
        <v>3</v>
      </c>
    </row>
    <row r="706" spans="1:12" ht="15" x14ac:dyDescent="0.25">
      <c r="A706" s="42" t="s">
        <v>771</v>
      </c>
      <c r="B706" s="49" t="s">
        <v>285</v>
      </c>
      <c r="C706" s="42" t="s">
        <v>930</v>
      </c>
      <c r="D706" s="75">
        <v>656572514</v>
      </c>
      <c r="E706" s="76">
        <v>9193679666</v>
      </c>
      <c r="F706" s="42" t="s">
        <v>247</v>
      </c>
      <c r="G706" s="84">
        <v>33974</v>
      </c>
      <c r="H706" s="108" t="str">
        <f>CHOOSE(MONTH(G706),"January","February","March","April","May","June","July","August","September","October","November","December")</f>
        <v>January</v>
      </c>
      <c r="I706" s="54">
        <f ca="1">DATEDIF(G706,TODAY(),"Y")</f>
        <v>23</v>
      </c>
      <c r="J706" s="55"/>
      <c r="K706" s="56">
        <v>70150</v>
      </c>
      <c r="L706" s="57">
        <v>2</v>
      </c>
    </row>
    <row r="707" spans="1:12" ht="15" x14ac:dyDescent="0.25">
      <c r="A707" s="42" t="s">
        <v>373</v>
      </c>
      <c r="B707" s="49" t="s">
        <v>271</v>
      </c>
      <c r="C707" s="42" t="s">
        <v>930</v>
      </c>
      <c r="D707" s="75">
        <v>855663308</v>
      </c>
      <c r="E707" s="76">
        <v>9195797109</v>
      </c>
      <c r="F707" s="42" t="s">
        <v>256</v>
      </c>
      <c r="G707" s="84">
        <v>34670</v>
      </c>
      <c r="H707" s="108" t="str">
        <f>CHOOSE(MONTH(G707),"January","February","March","April","May","June","July","August","September","October","November","December")</f>
        <v>December</v>
      </c>
      <c r="I707" s="54">
        <f ca="1">DATEDIF(G707,TODAY(),"Y")</f>
        <v>21</v>
      </c>
      <c r="J707" s="55" t="s">
        <v>257</v>
      </c>
      <c r="K707" s="56">
        <v>69510</v>
      </c>
      <c r="L707" s="57">
        <v>5</v>
      </c>
    </row>
    <row r="708" spans="1:12" ht="15" x14ac:dyDescent="0.25">
      <c r="A708" s="42" t="s">
        <v>570</v>
      </c>
      <c r="B708" s="49" t="s">
        <v>251</v>
      </c>
      <c r="C708" s="42" t="s">
        <v>930</v>
      </c>
      <c r="D708" s="75">
        <v>332494481</v>
      </c>
      <c r="E708" s="76">
        <v>9192094386</v>
      </c>
      <c r="F708" s="42" t="s">
        <v>256</v>
      </c>
      <c r="G708" s="84">
        <v>36080</v>
      </c>
      <c r="H708" s="108" t="str">
        <f>CHOOSE(MONTH(G708),"January","February","March","April","May","June","July","August","September","October","November","December")</f>
        <v>October</v>
      </c>
      <c r="I708" s="54">
        <f ca="1">DATEDIF(G708,TODAY(),"Y")</f>
        <v>18</v>
      </c>
      <c r="J708" s="55" t="s">
        <v>283</v>
      </c>
      <c r="K708" s="56">
        <v>48410</v>
      </c>
      <c r="L708" s="57">
        <v>5</v>
      </c>
    </row>
    <row r="709" spans="1:12" ht="15" x14ac:dyDescent="0.25">
      <c r="A709" s="42" t="s">
        <v>403</v>
      </c>
      <c r="B709" s="49" t="s">
        <v>280</v>
      </c>
      <c r="C709" s="42" t="s">
        <v>930</v>
      </c>
      <c r="D709" s="75">
        <v>230192897</v>
      </c>
      <c r="E709" s="76">
        <v>2525261239</v>
      </c>
      <c r="F709" s="42" t="s">
        <v>256</v>
      </c>
      <c r="G709" s="84">
        <v>39441</v>
      </c>
      <c r="H709" s="108" t="str">
        <f>CHOOSE(MONTH(G709),"January","February","March","April","May","June","July","August","September","October","November","December")</f>
        <v>December</v>
      </c>
      <c r="I709" s="54">
        <f ca="1">DATEDIF(G709,TODAY(),"Y")</f>
        <v>8</v>
      </c>
      <c r="J709" s="55" t="s">
        <v>262</v>
      </c>
      <c r="K709" s="56">
        <v>68860</v>
      </c>
      <c r="L709" s="57">
        <v>2</v>
      </c>
    </row>
    <row r="710" spans="1:12" ht="15" x14ac:dyDescent="0.25">
      <c r="A710" s="42" t="s">
        <v>711</v>
      </c>
      <c r="B710" s="49" t="s">
        <v>251</v>
      </c>
      <c r="C710" s="42" t="s">
        <v>930</v>
      </c>
      <c r="D710" s="75">
        <v>995590510</v>
      </c>
      <c r="E710" s="76">
        <v>9191838930</v>
      </c>
      <c r="F710" s="42" t="s">
        <v>247</v>
      </c>
      <c r="G710" s="106">
        <v>40638</v>
      </c>
      <c r="H710" s="108" t="str">
        <f>CHOOSE(MONTH(G710),"January","February","March","April","May","June","July","August","September","October","November","December")</f>
        <v>April</v>
      </c>
      <c r="I710" s="54">
        <f ca="1">DATEDIF(G710,TODAY(),"Y")</f>
        <v>5</v>
      </c>
      <c r="J710" s="55"/>
      <c r="K710" s="56">
        <v>42990</v>
      </c>
      <c r="L710" s="57">
        <v>4</v>
      </c>
    </row>
    <row r="711" spans="1:12" ht="15" x14ac:dyDescent="0.25">
      <c r="A711" s="42" t="s">
        <v>479</v>
      </c>
      <c r="B711" s="49" t="s">
        <v>285</v>
      </c>
      <c r="C711" s="42" t="s">
        <v>930</v>
      </c>
      <c r="D711" s="75">
        <v>163350417</v>
      </c>
      <c r="E711" s="76">
        <v>2526466230</v>
      </c>
      <c r="F711" s="42" t="s">
        <v>256</v>
      </c>
      <c r="G711" s="84">
        <v>36672</v>
      </c>
      <c r="H711" s="108" t="str">
        <f>CHOOSE(MONTH(G711),"January","February","March","April","May","June","July","August","September","October","November","December")</f>
        <v>May</v>
      </c>
      <c r="I711" s="54">
        <f ca="1">DATEDIF(G711,TODAY(),"Y")</f>
        <v>16</v>
      </c>
      <c r="J711" s="55" t="s">
        <v>262</v>
      </c>
      <c r="K711" s="56">
        <v>65320</v>
      </c>
      <c r="L711" s="57">
        <v>5</v>
      </c>
    </row>
    <row r="712" spans="1:12" ht="15" x14ac:dyDescent="0.25">
      <c r="A712" s="42" t="s">
        <v>921</v>
      </c>
      <c r="B712" s="49" t="s">
        <v>285</v>
      </c>
      <c r="C712" s="42" t="s">
        <v>930</v>
      </c>
      <c r="D712" s="75">
        <v>992674973</v>
      </c>
      <c r="E712" s="76">
        <v>2526088101</v>
      </c>
      <c r="F712" s="42" t="s">
        <v>256</v>
      </c>
      <c r="G712" s="84">
        <v>35052</v>
      </c>
      <c r="H712" s="108" t="str">
        <f>CHOOSE(MONTH(G712),"January","February","March","April","May","June","July","August","September","October","November","December")</f>
        <v>December</v>
      </c>
      <c r="I712" s="54">
        <f ca="1">DATEDIF(G712,TODAY(),"Y")</f>
        <v>20</v>
      </c>
      <c r="J712" s="55" t="s">
        <v>267</v>
      </c>
      <c r="K712" s="56">
        <v>64780</v>
      </c>
      <c r="L712" s="57">
        <v>5</v>
      </c>
    </row>
    <row r="713" spans="1:12" ht="15" x14ac:dyDescent="0.25">
      <c r="A713" s="42" t="s">
        <v>610</v>
      </c>
      <c r="B713" s="49" t="s">
        <v>285</v>
      </c>
      <c r="C713" s="42" t="s">
        <v>930</v>
      </c>
      <c r="D713" s="75">
        <v>695198896</v>
      </c>
      <c r="E713" s="76">
        <v>2523533906</v>
      </c>
      <c r="F713" s="42" t="s">
        <v>247</v>
      </c>
      <c r="G713" s="84">
        <v>35826</v>
      </c>
      <c r="H713" s="108" t="str">
        <f>CHOOSE(MONTH(G713),"January","February","March","April","May","June","July","August","September","October","November","December")</f>
        <v>January</v>
      </c>
      <c r="I713" s="54">
        <f ca="1">DATEDIF(G713,TODAY(),"Y")</f>
        <v>18</v>
      </c>
      <c r="J713" s="55"/>
      <c r="K713" s="56">
        <v>45030</v>
      </c>
      <c r="L713" s="57">
        <v>3</v>
      </c>
    </row>
    <row r="714" spans="1:12" ht="15" x14ac:dyDescent="0.25">
      <c r="A714" s="42" t="s">
        <v>354</v>
      </c>
      <c r="B714" s="49" t="s">
        <v>285</v>
      </c>
      <c r="C714" s="42" t="s">
        <v>930</v>
      </c>
      <c r="D714" s="75">
        <v>249416723</v>
      </c>
      <c r="E714" s="76">
        <v>2521628807</v>
      </c>
      <c r="F714" s="42" t="s">
        <v>256</v>
      </c>
      <c r="G714" s="84">
        <v>36025</v>
      </c>
      <c r="H714" s="108" t="str">
        <f>CHOOSE(MONTH(G714),"January","February","March","April","May","June","July","August","September","October","November","December")</f>
        <v>August</v>
      </c>
      <c r="I714" s="54">
        <f ca="1">DATEDIF(G714,TODAY(),"Y")</f>
        <v>18</v>
      </c>
      <c r="J714" s="55" t="s">
        <v>262</v>
      </c>
      <c r="K714" s="56">
        <v>64470</v>
      </c>
      <c r="L714" s="57">
        <v>5</v>
      </c>
    </row>
    <row r="715" spans="1:12" ht="15" x14ac:dyDescent="0.25">
      <c r="A715" s="42" t="s">
        <v>812</v>
      </c>
      <c r="B715" s="49" t="s">
        <v>271</v>
      </c>
      <c r="C715" s="42" t="s">
        <v>930</v>
      </c>
      <c r="D715" s="75">
        <v>375875723</v>
      </c>
      <c r="E715" s="76">
        <v>2526026842</v>
      </c>
      <c r="F715" s="42" t="s">
        <v>247</v>
      </c>
      <c r="G715" s="84">
        <v>34723</v>
      </c>
      <c r="H715" s="108" t="str">
        <f>CHOOSE(MONTH(G715),"January","February","March","April","May","June","July","August","September","October","November","December")</f>
        <v>January</v>
      </c>
      <c r="I715" s="54">
        <f ca="1">DATEDIF(G715,TODAY(),"Y")</f>
        <v>21</v>
      </c>
      <c r="J715" s="55"/>
      <c r="K715" s="56">
        <v>64263</v>
      </c>
      <c r="L715" s="57">
        <v>3</v>
      </c>
    </row>
    <row r="716" spans="1:12" ht="15" x14ac:dyDescent="0.25">
      <c r="A716" s="42" t="s">
        <v>787</v>
      </c>
      <c r="B716" s="49" t="s">
        <v>285</v>
      </c>
      <c r="C716" s="42" t="s">
        <v>930</v>
      </c>
      <c r="D716" s="75">
        <v>471064761</v>
      </c>
      <c r="E716" s="76">
        <v>9191800673</v>
      </c>
      <c r="F716" s="42" t="s">
        <v>252</v>
      </c>
      <c r="G716" s="84">
        <v>34825</v>
      </c>
      <c r="H716" s="108" t="str">
        <f>CHOOSE(MONTH(G716),"January","February","March","April","May","June","July","August","September","October","November","December")</f>
        <v>May</v>
      </c>
      <c r="I716" s="54">
        <f ca="1">DATEDIF(G716,TODAY(),"Y")</f>
        <v>21</v>
      </c>
      <c r="J716" s="55"/>
      <c r="K716" s="56">
        <v>26944</v>
      </c>
      <c r="L716" s="57">
        <v>4</v>
      </c>
    </row>
    <row r="717" spans="1:12" ht="15" x14ac:dyDescent="0.25">
      <c r="A717" s="42" t="s">
        <v>810</v>
      </c>
      <c r="B717" s="49" t="s">
        <v>271</v>
      </c>
      <c r="C717" s="42" t="s">
        <v>930</v>
      </c>
      <c r="D717" s="75">
        <v>918436287</v>
      </c>
      <c r="E717" s="76">
        <v>2528238755</v>
      </c>
      <c r="F717" s="42" t="s">
        <v>247</v>
      </c>
      <c r="G717" s="84">
        <v>33193</v>
      </c>
      <c r="H717" s="108" t="str">
        <f>CHOOSE(MONTH(G717),"January","February","March","April","May","June","July","August","September","October","November","December")</f>
        <v>November</v>
      </c>
      <c r="I717" s="54">
        <f ca="1">DATEDIF(G717,TODAY(),"Y")</f>
        <v>25</v>
      </c>
      <c r="J717" s="55"/>
      <c r="K717" s="56">
        <v>63610</v>
      </c>
      <c r="L717" s="57">
        <v>5</v>
      </c>
    </row>
    <row r="718" spans="1:12" ht="15" x14ac:dyDescent="0.25">
      <c r="A718" s="42" t="s">
        <v>836</v>
      </c>
      <c r="B718" s="49" t="s">
        <v>280</v>
      </c>
      <c r="C718" s="42" t="s">
        <v>930</v>
      </c>
      <c r="D718" s="75">
        <v>276873359</v>
      </c>
      <c r="E718" s="76">
        <v>2522304625</v>
      </c>
      <c r="F718" s="42" t="s">
        <v>256</v>
      </c>
      <c r="G718" s="84">
        <v>39171</v>
      </c>
      <c r="H718" s="108" t="str">
        <f>CHOOSE(MONTH(G718),"January","February","March","April","May","June","July","August","September","October","November","December")</f>
        <v>March</v>
      </c>
      <c r="I718" s="54">
        <f ca="1">DATEDIF(G718,TODAY(),"Y")</f>
        <v>9</v>
      </c>
      <c r="J718" s="55" t="s">
        <v>267</v>
      </c>
      <c r="K718" s="56">
        <v>25690</v>
      </c>
      <c r="L718" s="57">
        <v>2</v>
      </c>
    </row>
    <row r="719" spans="1:12" ht="15" x14ac:dyDescent="0.25">
      <c r="A719" s="42" t="s">
        <v>960</v>
      </c>
      <c r="B719" s="49" t="s">
        <v>251</v>
      </c>
      <c r="C719" s="42" t="s">
        <v>930</v>
      </c>
      <c r="D719" s="75">
        <v>635240617</v>
      </c>
      <c r="E719" s="76">
        <v>9192259651</v>
      </c>
      <c r="F719" s="42" t="s">
        <v>256</v>
      </c>
      <c r="G719" s="84">
        <v>36843</v>
      </c>
      <c r="H719" s="108" t="str">
        <f>CHOOSE(MONTH(G719),"January","February","March","April","May","June","July","August","September","October","November","December")</f>
        <v>November</v>
      </c>
      <c r="I719" s="54">
        <f ca="1">DATEDIF(G719,TODAY(),"Y")</f>
        <v>15</v>
      </c>
      <c r="J719" s="55" t="s">
        <v>283</v>
      </c>
      <c r="K719" s="56">
        <v>47630</v>
      </c>
      <c r="L719" s="57">
        <v>3</v>
      </c>
    </row>
    <row r="720" spans="1:12" ht="15" x14ac:dyDescent="0.25">
      <c r="A720" s="42" t="s">
        <v>829</v>
      </c>
      <c r="B720" s="49" t="s">
        <v>285</v>
      </c>
      <c r="C720" s="42" t="s">
        <v>930</v>
      </c>
      <c r="D720" s="75">
        <v>283476654</v>
      </c>
      <c r="E720" s="76">
        <v>9197049910</v>
      </c>
      <c r="F720" s="42" t="s">
        <v>256</v>
      </c>
      <c r="G720" s="84">
        <v>33681</v>
      </c>
      <c r="H720" s="108" t="str">
        <f>CHOOSE(MONTH(G720),"January","February","March","April","May","June","July","August","September","October","November","December")</f>
        <v>March</v>
      </c>
      <c r="I720" s="54">
        <f ca="1">DATEDIF(G720,TODAY(),"Y")</f>
        <v>24</v>
      </c>
      <c r="J720" s="55" t="s">
        <v>262</v>
      </c>
      <c r="K720" s="56">
        <v>46550</v>
      </c>
      <c r="L720" s="57">
        <v>4</v>
      </c>
    </row>
    <row r="721" spans="1:12" ht="15" x14ac:dyDescent="0.25">
      <c r="A721" s="42" t="s">
        <v>954</v>
      </c>
      <c r="B721" s="49" t="s">
        <v>271</v>
      </c>
      <c r="C721" s="42" t="s">
        <v>930</v>
      </c>
      <c r="D721" s="75">
        <v>317749924</v>
      </c>
      <c r="E721" s="76">
        <v>9193441810</v>
      </c>
      <c r="F721" s="42" t="s">
        <v>247</v>
      </c>
      <c r="G721" s="84">
        <v>33977</v>
      </c>
      <c r="H721" s="108" t="str">
        <f>CHOOSE(MONTH(G721),"January","February","March","April","May","June","July","August","September","October","November","December")</f>
        <v>January</v>
      </c>
      <c r="I721" s="54">
        <f ca="1">DATEDIF(G721,TODAY(),"Y")</f>
        <v>23</v>
      </c>
      <c r="J721" s="55"/>
      <c r="K721" s="56">
        <v>63290</v>
      </c>
      <c r="L721" s="57">
        <v>5</v>
      </c>
    </row>
    <row r="722" spans="1:12" ht="15" x14ac:dyDescent="0.25">
      <c r="A722" s="42" t="s">
        <v>339</v>
      </c>
      <c r="B722" s="49" t="s">
        <v>285</v>
      </c>
      <c r="C722" s="42" t="s">
        <v>930</v>
      </c>
      <c r="D722" s="75">
        <v>800685434</v>
      </c>
      <c r="E722" s="76">
        <v>2525821616</v>
      </c>
      <c r="F722" s="42" t="s">
        <v>256</v>
      </c>
      <c r="G722" s="84">
        <v>36956</v>
      </c>
      <c r="H722" s="108" t="str">
        <f>CHOOSE(MONTH(G722),"January","February","March","April","May","June","July","August","September","October","November","December")</f>
        <v>March</v>
      </c>
      <c r="I722" s="54">
        <f ca="1">DATEDIF(G722,TODAY(),"Y")</f>
        <v>15</v>
      </c>
      <c r="J722" s="55" t="s">
        <v>276</v>
      </c>
      <c r="K722" s="56">
        <v>49930</v>
      </c>
      <c r="L722" s="57">
        <v>1</v>
      </c>
    </row>
    <row r="723" spans="1:12" ht="15" x14ac:dyDescent="0.25">
      <c r="A723" s="42" t="s">
        <v>901</v>
      </c>
      <c r="B723" s="49" t="s">
        <v>285</v>
      </c>
      <c r="C723" s="42" t="s">
        <v>930</v>
      </c>
      <c r="D723" s="75">
        <v>380304349</v>
      </c>
      <c r="E723" s="76">
        <v>2526129939</v>
      </c>
      <c r="F723" s="42" t="s">
        <v>256</v>
      </c>
      <c r="G723" s="84">
        <v>36549</v>
      </c>
      <c r="H723" s="108" t="str">
        <f>CHOOSE(MONTH(G723),"January","February","March","April","May","June","July","August","September","October","November","December")</f>
        <v>January</v>
      </c>
      <c r="I723" s="54">
        <f ca="1">DATEDIF(G723,TODAY(),"Y")</f>
        <v>16</v>
      </c>
      <c r="J723" s="55" t="s">
        <v>283</v>
      </c>
      <c r="K723" s="56">
        <v>35460</v>
      </c>
      <c r="L723" s="57">
        <v>1</v>
      </c>
    </row>
    <row r="724" spans="1:12" ht="15" x14ac:dyDescent="0.25">
      <c r="A724" s="42" t="s">
        <v>521</v>
      </c>
      <c r="B724" s="49" t="s">
        <v>285</v>
      </c>
      <c r="C724" s="42" t="s">
        <v>930</v>
      </c>
      <c r="D724" s="75">
        <v>212558012</v>
      </c>
      <c r="E724" s="76">
        <v>2526860208</v>
      </c>
      <c r="F724" s="42" t="s">
        <v>256</v>
      </c>
      <c r="G724" s="84">
        <v>36967</v>
      </c>
      <c r="H724" s="108" t="str">
        <f>CHOOSE(MONTH(G724),"January","February","March","April","May","June","July","August","September","October","November","December")</f>
        <v>March</v>
      </c>
      <c r="I724" s="54">
        <f ca="1">DATEDIF(G724,TODAY(),"Y")</f>
        <v>15</v>
      </c>
      <c r="J724" s="55" t="s">
        <v>257</v>
      </c>
      <c r="K724" s="56">
        <v>63060</v>
      </c>
      <c r="L724" s="57">
        <v>4</v>
      </c>
    </row>
    <row r="725" spans="1:12" ht="15" x14ac:dyDescent="0.25">
      <c r="A725" s="42" t="s">
        <v>358</v>
      </c>
      <c r="B725" s="49" t="s">
        <v>271</v>
      </c>
      <c r="C725" s="42" t="s">
        <v>930</v>
      </c>
      <c r="D725" s="75">
        <v>750006979</v>
      </c>
      <c r="E725" s="76">
        <v>2528444054</v>
      </c>
      <c r="F725" s="42" t="s">
        <v>261</v>
      </c>
      <c r="G725" s="84">
        <v>34042</v>
      </c>
      <c r="H725" s="108" t="str">
        <f>CHOOSE(MONTH(G725),"January","February","March","April","May","June","July","August","September","October","November","December")</f>
        <v>March</v>
      </c>
      <c r="I725" s="54">
        <f ca="1">DATEDIF(G725,TODAY(),"Y")</f>
        <v>23</v>
      </c>
      <c r="J725" s="55" t="s">
        <v>267</v>
      </c>
      <c r="K725" s="56">
        <v>27710</v>
      </c>
      <c r="L725" s="57">
        <v>3</v>
      </c>
    </row>
    <row r="726" spans="1:12" ht="15" x14ac:dyDescent="0.25">
      <c r="A726" s="42" t="s">
        <v>509</v>
      </c>
      <c r="B726" s="49" t="s">
        <v>271</v>
      </c>
      <c r="C726" s="42" t="s">
        <v>930</v>
      </c>
      <c r="D726" s="75">
        <v>693214759</v>
      </c>
      <c r="E726" s="76">
        <v>9192683895</v>
      </c>
      <c r="F726" s="42" t="s">
        <v>256</v>
      </c>
      <c r="G726" s="84">
        <v>33806</v>
      </c>
      <c r="H726" s="108" t="str">
        <f>CHOOSE(MONTH(G726),"January","February","March","April","May","June","July","August","September","October","November","December")</f>
        <v>July</v>
      </c>
      <c r="I726" s="54">
        <f ca="1">DATEDIF(G726,TODAY(),"Y")</f>
        <v>24</v>
      </c>
      <c r="J726" s="55" t="s">
        <v>262</v>
      </c>
      <c r="K726" s="56">
        <v>62780</v>
      </c>
      <c r="L726" s="57">
        <v>3</v>
      </c>
    </row>
    <row r="727" spans="1:12" ht="15" x14ac:dyDescent="0.25">
      <c r="A727" s="42" t="s">
        <v>953</v>
      </c>
      <c r="B727" s="49" t="s">
        <v>285</v>
      </c>
      <c r="C727" s="42" t="s">
        <v>930</v>
      </c>
      <c r="D727" s="75">
        <v>970466937</v>
      </c>
      <c r="E727" s="76">
        <v>9192042331</v>
      </c>
      <c r="F727" s="42" t="s">
        <v>247</v>
      </c>
      <c r="G727" s="84">
        <v>33495</v>
      </c>
      <c r="H727" s="108" t="str">
        <f>CHOOSE(MONTH(G727),"January","February","March","April","May","June","July","August","September","October","November","December")</f>
        <v>September</v>
      </c>
      <c r="I727" s="54">
        <f ca="1">DATEDIF(G727,TODAY(),"Y")</f>
        <v>25</v>
      </c>
      <c r="J727" s="55"/>
      <c r="K727" s="56">
        <v>62480</v>
      </c>
      <c r="L727" s="57">
        <v>5</v>
      </c>
    </row>
    <row r="728" spans="1:12" ht="15" x14ac:dyDescent="0.25">
      <c r="A728" s="42" t="s">
        <v>501</v>
      </c>
      <c r="B728" s="49" t="s">
        <v>271</v>
      </c>
      <c r="C728" s="42" t="s">
        <v>930</v>
      </c>
      <c r="D728" s="75">
        <v>159594851</v>
      </c>
      <c r="E728" s="76">
        <v>9194084456</v>
      </c>
      <c r="F728" s="42" t="s">
        <v>256</v>
      </c>
      <c r="G728" s="106">
        <v>40680</v>
      </c>
      <c r="H728" s="108" t="str">
        <f>CHOOSE(MONTH(G728),"January","February","March","April","May","June","July","August","September","October","November","December")</f>
        <v>May</v>
      </c>
      <c r="I728" s="54">
        <f ca="1">DATEDIF(G728,TODAY(),"Y")</f>
        <v>5</v>
      </c>
      <c r="J728" s="55" t="s">
        <v>276</v>
      </c>
      <c r="K728" s="56">
        <v>40260</v>
      </c>
      <c r="L728" s="57">
        <v>5</v>
      </c>
    </row>
    <row r="729" spans="1:12" ht="15" x14ac:dyDescent="0.25">
      <c r="A729" s="42" t="s">
        <v>769</v>
      </c>
      <c r="B729" s="49" t="s">
        <v>271</v>
      </c>
      <c r="C729" s="42" t="s">
        <v>930</v>
      </c>
      <c r="D729" s="75">
        <v>876082195</v>
      </c>
      <c r="E729" s="76">
        <v>2526049607</v>
      </c>
      <c r="F729" s="42" t="s">
        <v>256</v>
      </c>
      <c r="G729" s="84">
        <v>36330</v>
      </c>
      <c r="H729" s="108" t="str">
        <f>CHOOSE(MONTH(G729),"January","February","March","April","May","June","July","August","September","October","November","December")</f>
        <v>June</v>
      </c>
      <c r="I729" s="54">
        <f ca="1">DATEDIF(G729,TODAY(),"Y")</f>
        <v>17</v>
      </c>
      <c r="J729" s="55" t="s">
        <v>276</v>
      </c>
      <c r="K729" s="56">
        <v>61850</v>
      </c>
      <c r="L729" s="57">
        <v>2</v>
      </c>
    </row>
    <row r="730" spans="1:12" ht="15" x14ac:dyDescent="0.25">
      <c r="A730" s="42" t="s">
        <v>773</v>
      </c>
      <c r="B730" s="49" t="s">
        <v>285</v>
      </c>
      <c r="C730" s="42" t="s">
        <v>930</v>
      </c>
      <c r="D730" s="75">
        <v>771110153</v>
      </c>
      <c r="E730" s="76">
        <v>9196799516</v>
      </c>
      <c r="F730" s="42" t="s">
        <v>256</v>
      </c>
      <c r="G730" s="84">
        <v>39283</v>
      </c>
      <c r="H730" s="108" t="str">
        <f>CHOOSE(MONTH(G730),"January","February","March","April","May","June","July","August","September","October","November","December")</f>
        <v>July</v>
      </c>
      <c r="I730" s="54">
        <f ca="1">DATEDIF(G730,TODAY(),"Y")</f>
        <v>9</v>
      </c>
      <c r="J730" s="55" t="s">
        <v>257</v>
      </c>
      <c r="K730" s="56">
        <v>24980</v>
      </c>
      <c r="L730" s="57">
        <v>3</v>
      </c>
    </row>
    <row r="731" spans="1:12" ht="15" x14ac:dyDescent="0.25">
      <c r="A731" s="42" t="s">
        <v>541</v>
      </c>
      <c r="B731" s="49" t="s">
        <v>271</v>
      </c>
      <c r="C731" s="42" t="s">
        <v>930</v>
      </c>
      <c r="D731" s="75">
        <v>793256568</v>
      </c>
      <c r="E731" s="76">
        <v>9196999991</v>
      </c>
      <c r="F731" s="42" t="s">
        <v>256</v>
      </c>
      <c r="G731" s="84">
        <v>35364</v>
      </c>
      <c r="H731" s="108" t="str">
        <f>CHOOSE(MONTH(G731),"January","February","March","April","May","June","July","August","September","October","November","December")</f>
        <v>October</v>
      </c>
      <c r="I731" s="54">
        <f ca="1">DATEDIF(G731,TODAY(),"Y")</f>
        <v>20</v>
      </c>
      <c r="J731" s="55" t="s">
        <v>257</v>
      </c>
      <c r="K731" s="56">
        <v>27130</v>
      </c>
      <c r="L731" s="57">
        <v>5</v>
      </c>
    </row>
    <row r="732" spans="1:12" ht="15" x14ac:dyDescent="0.25">
      <c r="A732" s="42" t="s">
        <v>428</v>
      </c>
      <c r="B732" s="49" t="s">
        <v>280</v>
      </c>
      <c r="C732" s="42" t="s">
        <v>930</v>
      </c>
      <c r="D732" s="75">
        <v>723066626</v>
      </c>
      <c r="E732" s="76">
        <v>2525399385</v>
      </c>
      <c r="F732" s="42" t="s">
        <v>247</v>
      </c>
      <c r="G732" s="84">
        <v>38438</v>
      </c>
      <c r="H732" s="108" t="str">
        <f>CHOOSE(MONTH(G732),"January","February","March","April","May","June","July","August","September","October","November","December")</f>
        <v>March</v>
      </c>
      <c r="I732" s="54">
        <f ca="1">DATEDIF(G732,TODAY(),"Y")</f>
        <v>11</v>
      </c>
      <c r="J732" s="55"/>
      <c r="K732" s="56">
        <v>32880</v>
      </c>
      <c r="L732" s="57">
        <v>3</v>
      </c>
    </row>
    <row r="733" spans="1:12" ht="15" x14ac:dyDescent="0.25">
      <c r="A733" s="42" t="s">
        <v>824</v>
      </c>
      <c r="B733" s="49" t="s">
        <v>245</v>
      </c>
      <c r="C733" s="42" t="s">
        <v>930</v>
      </c>
      <c r="D733" s="75">
        <v>145495793</v>
      </c>
      <c r="E733" s="76">
        <v>2521603964</v>
      </c>
      <c r="F733" s="42" t="s">
        <v>261</v>
      </c>
      <c r="G733" s="84">
        <v>34960</v>
      </c>
      <c r="H733" s="108" t="str">
        <f>CHOOSE(MONTH(G733),"January","February","March","April","May","June","July","August","September","October","November","December")</f>
        <v>September</v>
      </c>
      <c r="I733" s="54">
        <f ca="1">DATEDIF(G733,TODAY(),"Y")</f>
        <v>21</v>
      </c>
      <c r="J733" s="55" t="s">
        <v>276</v>
      </c>
      <c r="K733" s="56">
        <v>23000</v>
      </c>
      <c r="L733" s="57">
        <v>4</v>
      </c>
    </row>
    <row r="734" spans="1:12" ht="15" x14ac:dyDescent="0.25">
      <c r="A734" s="42" t="s">
        <v>435</v>
      </c>
      <c r="B734" s="49" t="s">
        <v>271</v>
      </c>
      <c r="C734" s="42" t="s">
        <v>930</v>
      </c>
      <c r="D734" s="75">
        <v>111616346</v>
      </c>
      <c r="E734" s="76">
        <v>2525717431</v>
      </c>
      <c r="F734" s="42" t="s">
        <v>247</v>
      </c>
      <c r="G734" s="84">
        <v>33506</v>
      </c>
      <c r="H734" s="108" t="str">
        <f>CHOOSE(MONTH(G734),"January","February","March","April","May","June","July","August","September","October","November","December")</f>
        <v>September</v>
      </c>
      <c r="I734" s="54">
        <f ca="1">DATEDIF(G734,TODAY(),"Y")</f>
        <v>25</v>
      </c>
      <c r="J734" s="55"/>
      <c r="K734" s="56">
        <v>61134</v>
      </c>
      <c r="L734" s="57">
        <v>4</v>
      </c>
    </row>
    <row r="735" spans="1:12" ht="15" x14ac:dyDescent="0.25">
      <c r="A735" s="42" t="s">
        <v>754</v>
      </c>
      <c r="B735" s="49" t="s">
        <v>285</v>
      </c>
      <c r="C735" s="42" t="s">
        <v>930</v>
      </c>
      <c r="D735" s="75">
        <v>287476507</v>
      </c>
      <c r="E735" s="76">
        <v>9191509619</v>
      </c>
      <c r="F735" s="42" t="s">
        <v>261</v>
      </c>
      <c r="G735" s="84">
        <v>34005</v>
      </c>
      <c r="H735" s="108" t="str">
        <f>CHOOSE(MONTH(G735),"January","February","March","April","May","June","July","August","September","October","November","December")</f>
        <v>February</v>
      </c>
      <c r="I735" s="54">
        <f ca="1">DATEDIF(G735,TODAY(),"Y")</f>
        <v>23</v>
      </c>
      <c r="J735" s="55" t="s">
        <v>257</v>
      </c>
      <c r="K735" s="56">
        <v>19935</v>
      </c>
      <c r="L735" s="57">
        <v>1</v>
      </c>
    </row>
    <row r="736" spans="1:12" ht="15" x14ac:dyDescent="0.25">
      <c r="A736" s="42" t="s">
        <v>743</v>
      </c>
      <c r="B736" s="49" t="s">
        <v>251</v>
      </c>
      <c r="C736" s="42" t="s">
        <v>930</v>
      </c>
      <c r="D736" s="75">
        <v>120361975</v>
      </c>
      <c r="E736" s="76">
        <v>2521789943</v>
      </c>
      <c r="F736" s="42" t="s">
        <v>256</v>
      </c>
      <c r="G736" s="84">
        <v>37495</v>
      </c>
      <c r="H736" s="108" t="str">
        <f>CHOOSE(MONTH(G736),"January","February","March","April","May","June","July","August","September","October","November","December")</f>
        <v>August</v>
      </c>
      <c r="I736" s="54">
        <f ca="1">DATEDIF(G736,TODAY(),"Y")</f>
        <v>14</v>
      </c>
      <c r="J736" s="55" t="s">
        <v>276</v>
      </c>
      <c r="K736" s="56">
        <v>60300</v>
      </c>
      <c r="L736" s="57">
        <v>2</v>
      </c>
    </row>
    <row r="737" spans="1:12" ht="15" x14ac:dyDescent="0.25">
      <c r="A737" s="42" t="s">
        <v>488</v>
      </c>
      <c r="B737" s="49" t="s">
        <v>285</v>
      </c>
      <c r="C737" s="42" t="s">
        <v>930</v>
      </c>
      <c r="D737" s="75">
        <v>879114558</v>
      </c>
      <c r="E737" s="76">
        <v>9194557504</v>
      </c>
      <c r="F737" s="42" t="s">
        <v>261</v>
      </c>
      <c r="G737" s="84">
        <v>36918</v>
      </c>
      <c r="H737" s="108" t="str">
        <f>CHOOSE(MONTH(G737),"January","February","March","April","May","June","July","August","September","October","November","December")</f>
        <v>January</v>
      </c>
      <c r="I737" s="54">
        <f ca="1">DATEDIF(G737,TODAY(),"Y")</f>
        <v>15</v>
      </c>
      <c r="J737" s="55" t="s">
        <v>257</v>
      </c>
      <c r="K737" s="56">
        <v>17205</v>
      </c>
      <c r="L737" s="57">
        <v>5</v>
      </c>
    </row>
    <row r="738" spans="1:12" ht="15" x14ac:dyDescent="0.25">
      <c r="A738" s="42" t="s">
        <v>549</v>
      </c>
      <c r="B738" s="49" t="s">
        <v>245</v>
      </c>
      <c r="C738" s="42" t="s">
        <v>930</v>
      </c>
      <c r="D738" s="75">
        <v>262585858</v>
      </c>
      <c r="E738" s="76">
        <v>2528566597</v>
      </c>
      <c r="F738" s="42" t="s">
        <v>261</v>
      </c>
      <c r="G738" s="84">
        <v>35518</v>
      </c>
      <c r="H738" s="108" t="str">
        <f>CHOOSE(MONTH(G738),"January","February","March","April","May","June","July","August","September","October","November","December")</f>
        <v>March</v>
      </c>
      <c r="I738" s="54">
        <f ca="1">DATEDIF(G738,TODAY(),"Y")</f>
        <v>19</v>
      </c>
      <c r="J738" s="55" t="s">
        <v>262</v>
      </c>
      <c r="K738" s="56">
        <v>13690</v>
      </c>
      <c r="L738" s="57">
        <v>5</v>
      </c>
    </row>
    <row r="739" spans="1:12" ht="15" x14ac:dyDescent="0.25">
      <c r="A739" s="42" t="s">
        <v>701</v>
      </c>
      <c r="B739" s="49" t="s">
        <v>271</v>
      </c>
      <c r="C739" s="42" t="s">
        <v>930</v>
      </c>
      <c r="D739" s="75">
        <v>595022550</v>
      </c>
      <c r="E739" s="76">
        <v>9195621928</v>
      </c>
      <c r="F739" s="42" t="s">
        <v>256</v>
      </c>
      <c r="G739" s="84">
        <v>33957</v>
      </c>
      <c r="H739" s="108" t="str">
        <f>CHOOSE(MONTH(G739),"January","February","March","April","May","June","July","August","September","October","November","December")</f>
        <v>December</v>
      </c>
      <c r="I739" s="54">
        <f ca="1">DATEDIF(G739,TODAY(),"Y")</f>
        <v>23</v>
      </c>
      <c r="J739" s="55" t="s">
        <v>262</v>
      </c>
      <c r="K739" s="56">
        <v>59490</v>
      </c>
      <c r="L739" s="57">
        <v>3</v>
      </c>
    </row>
    <row r="740" spans="1:12" ht="15" x14ac:dyDescent="0.25">
      <c r="A740" s="42" t="s">
        <v>676</v>
      </c>
      <c r="B740" s="49" t="s">
        <v>245</v>
      </c>
      <c r="C740" s="42" t="s">
        <v>930</v>
      </c>
      <c r="D740" s="75">
        <v>741258203</v>
      </c>
      <c r="E740" s="76">
        <v>9195157707</v>
      </c>
      <c r="F740" s="42" t="s">
        <v>247</v>
      </c>
      <c r="G740" s="84">
        <v>33789</v>
      </c>
      <c r="H740" s="108" t="str">
        <f>CHOOSE(MONTH(G740),"January","February","March","April","May","June","July","August","September","October","November","December")</f>
        <v>July</v>
      </c>
      <c r="I740" s="54">
        <f ca="1">DATEDIF(G740,TODAY(),"Y")</f>
        <v>24</v>
      </c>
      <c r="J740" s="55"/>
      <c r="K740" s="56">
        <v>59128</v>
      </c>
      <c r="L740" s="57">
        <v>4</v>
      </c>
    </row>
    <row r="741" spans="1:12" ht="15" x14ac:dyDescent="0.25">
      <c r="A741" s="42" t="s">
        <v>402</v>
      </c>
      <c r="B741" s="49" t="s">
        <v>285</v>
      </c>
      <c r="C741" s="42" t="s">
        <v>930</v>
      </c>
      <c r="D741" s="75">
        <v>627494412</v>
      </c>
      <c r="E741" s="76">
        <v>2528249735</v>
      </c>
      <c r="F741" s="42" t="s">
        <v>256</v>
      </c>
      <c r="G741" s="84">
        <v>35276</v>
      </c>
      <c r="H741" s="108" t="str">
        <f>CHOOSE(MONTH(G741),"January","February","March","April","May","June","July","August","September","October","November","December")</f>
        <v>July</v>
      </c>
      <c r="I741" s="54">
        <f ca="1">DATEDIF(G741,TODAY(),"Y")</f>
        <v>20</v>
      </c>
      <c r="J741" s="55" t="s">
        <v>257</v>
      </c>
      <c r="K741" s="56">
        <v>58370</v>
      </c>
      <c r="L741" s="57">
        <v>5</v>
      </c>
    </row>
    <row r="742" spans="1:12" ht="15" x14ac:dyDescent="0.25">
      <c r="A742" s="42" t="s">
        <v>719</v>
      </c>
      <c r="B742" s="49" t="s">
        <v>245</v>
      </c>
      <c r="C742" s="42" t="s">
        <v>930</v>
      </c>
      <c r="D742" s="75">
        <v>247422007</v>
      </c>
      <c r="E742" s="76">
        <v>2528012440</v>
      </c>
      <c r="F742" s="42" t="s">
        <v>247</v>
      </c>
      <c r="G742" s="84">
        <v>36193</v>
      </c>
      <c r="H742" s="108" t="str">
        <f>CHOOSE(MONTH(G742),"January","February","March","April","May","June","July","August","September","October","November","December")</f>
        <v>February</v>
      </c>
      <c r="I742" s="54">
        <f ca="1">DATEDIF(G742,TODAY(),"Y")</f>
        <v>17</v>
      </c>
      <c r="J742" s="55"/>
      <c r="K742" s="56">
        <v>58250</v>
      </c>
      <c r="L742" s="57">
        <v>2</v>
      </c>
    </row>
    <row r="743" spans="1:12" ht="15" x14ac:dyDescent="0.25">
      <c r="A743" s="42" t="s">
        <v>361</v>
      </c>
      <c r="B743" s="49" t="s">
        <v>285</v>
      </c>
      <c r="C743" s="42" t="s">
        <v>930</v>
      </c>
      <c r="D743" s="75">
        <v>144722757</v>
      </c>
      <c r="E743" s="76">
        <v>9196060038</v>
      </c>
      <c r="F743" s="42" t="s">
        <v>247</v>
      </c>
      <c r="G743" s="84">
        <v>33562</v>
      </c>
      <c r="H743" s="108" t="str">
        <f>CHOOSE(MONTH(G743),"January","February","March","April","May","June","July","August","September","October","November","December")</f>
        <v>November</v>
      </c>
      <c r="I743" s="54">
        <f ca="1">DATEDIF(G743,TODAY(),"Y")</f>
        <v>24</v>
      </c>
      <c r="J743" s="55"/>
      <c r="K743" s="56">
        <v>57500</v>
      </c>
      <c r="L743" s="57">
        <v>1</v>
      </c>
    </row>
    <row r="744" spans="1:12" ht="15" x14ac:dyDescent="0.25">
      <c r="A744" s="42" t="s">
        <v>399</v>
      </c>
      <c r="B744" s="49" t="s">
        <v>266</v>
      </c>
      <c r="C744" s="42" t="s">
        <v>930</v>
      </c>
      <c r="D744" s="75">
        <v>616055292</v>
      </c>
      <c r="E744" s="76">
        <v>9192913490</v>
      </c>
      <c r="F744" s="42" t="s">
        <v>256</v>
      </c>
      <c r="G744" s="84">
        <v>33921</v>
      </c>
      <c r="H744" s="108" t="str">
        <f>CHOOSE(MONTH(G744),"January","February","March","April","May","June","July","August","September","October","November","December")</f>
        <v>November</v>
      </c>
      <c r="I744" s="54">
        <f ca="1">DATEDIF(G744,TODAY(),"Y")</f>
        <v>23</v>
      </c>
      <c r="J744" s="55" t="s">
        <v>267</v>
      </c>
      <c r="K744" s="56">
        <v>32160</v>
      </c>
      <c r="L744" s="57">
        <v>3</v>
      </c>
    </row>
    <row r="745" spans="1:12" ht="15" x14ac:dyDescent="0.25">
      <c r="A745" s="42" t="s">
        <v>461</v>
      </c>
      <c r="B745" s="49" t="s">
        <v>280</v>
      </c>
      <c r="C745" s="42" t="s">
        <v>930</v>
      </c>
      <c r="D745" s="75">
        <v>643984096</v>
      </c>
      <c r="E745" s="76">
        <v>9191630739</v>
      </c>
      <c r="F745" s="42" t="s">
        <v>247</v>
      </c>
      <c r="G745" s="84">
        <v>33413</v>
      </c>
      <c r="H745" s="108" t="str">
        <f>CHOOSE(MONTH(G745),"January","February","March","April","May","June","July","August","September","October","November","December")</f>
        <v>June</v>
      </c>
      <c r="I745" s="54">
        <f ca="1">DATEDIF(G745,TODAY(),"Y")</f>
        <v>25</v>
      </c>
      <c r="J745" s="55"/>
      <c r="K745" s="56">
        <v>26020</v>
      </c>
      <c r="L745" s="57">
        <v>5</v>
      </c>
    </row>
    <row r="746" spans="1:12" ht="15" x14ac:dyDescent="0.25">
      <c r="A746" s="42" t="s">
        <v>526</v>
      </c>
      <c r="B746" s="49" t="s">
        <v>285</v>
      </c>
      <c r="C746" s="42" t="s">
        <v>930</v>
      </c>
      <c r="D746" s="75">
        <v>151532569</v>
      </c>
      <c r="E746" s="76">
        <v>2525202015</v>
      </c>
      <c r="F746" s="42" t="s">
        <v>247</v>
      </c>
      <c r="G746" s="106">
        <v>40563</v>
      </c>
      <c r="H746" s="108" t="str">
        <f>CHOOSE(MONTH(G746),"January","February","March","April","May","June","July","August","September","October","November","December")</f>
        <v>January</v>
      </c>
      <c r="I746" s="54">
        <f ca="1">DATEDIF(G746,TODAY(),"Y")</f>
        <v>5</v>
      </c>
      <c r="J746" s="55"/>
      <c r="K746" s="56">
        <v>55510</v>
      </c>
      <c r="L746" s="57">
        <v>3</v>
      </c>
    </row>
    <row r="747" spans="1:12" ht="15" x14ac:dyDescent="0.25">
      <c r="A747" s="42" t="s">
        <v>983</v>
      </c>
      <c r="B747" s="49" t="s">
        <v>285</v>
      </c>
      <c r="C747" s="42" t="s">
        <v>930</v>
      </c>
      <c r="D747" s="75">
        <v>177324163</v>
      </c>
      <c r="E747" s="76">
        <v>2527091949</v>
      </c>
      <c r="F747" s="42" t="s">
        <v>256</v>
      </c>
      <c r="G747" s="84">
        <v>37810</v>
      </c>
      <c r="H747" s="108" t="str">
        <f>CHOOSE(MONTH(G747),"January","February","March","April","May","June","July","August","September","October","November","December")</f>
        <v>July</v>
      </c>
      <c r="I747" s="54">
        <f ca="1">DATEDIF(G747,TODAY(),"Y")</f>
        <v>13</v>
      </c>
      <c r="J747" s="55" t="s">
        <v>283</v>
      </c>
      <c r="K747" s="56">
        <v>48010</v>
      </c>
      <c r="L747" s="57">
        <v>3</v>
      </c>
    </row>
    <row r="748" spans="1:12" ht="15" x14ac:dyDescent="0.25">
      <c r="A748" s="42" t="s">
        <v>427</v>
      </c>
      <c r="B748" s="49" t="s">
        <v>266</v>
      </c>
      <c r="C748" s="42" t="s">
        <v>930</v>
      </c>
      <c r="D748" s="75">
        <v>971128623</v>
      </c>
      <c r="E748" s="76">
        <v>9194375399</v>
      </c>
      <c r="F748" s="42" t="s">
        <v>247</v>
      </c>
      <c r="G748" s="84">
        <v>37141</v>
      </c>
      <c r="H748" s="108" t="str">
        <f>CHOOSE(MONTH(G748),"January","February","March","April","May","June","July","August","September","October","November","December")</f>
        <v>September</v>
      </c>
      <c r="I748" s="54">
        <f ca="1">DATEDIF(G748,TODAY(),"Y")</f>
        <v>15</v>
      </c>
      <c r="J748" s="55"/>
      <c r="K748" s="56">
        <v>25530</v>
      </c>
      <c r="L748" s="57">
        <v>3</v>
      </c>
    </row>
    <row r="749" spans="1:12" ht="15" x14ac:dyDescent="0.25">
      <c r="A749" s="42" t="s">
        <v>414</v>
      </c>
      <c r="B749" s="49" t="s">
        <v>285</v>
      </c>
      <c r="C749" s="42" t="s">
        <v>930</v>
      </c>
      <c r="D749" s="75">
        <v>121173068</v>
      </c>
      <c r="E749" s="76">
        <v>9196778600</v>
      </c>
      <c r="F749" s="42" t="s">
        <v>256</v>
      </c>
      <c r="G749" s="84">
        <v>40568</v>
      </c>
      <c r="H749" s="108" t="str">
        <f>CHOOSE(MONTH(G749),"January","February","March","April","May","June","July","August","September","October","November","December")</f>
        <v>January</v>
      </c>
      <c r="I749" s="54">
        <f ca="1">DATEDIF(G749,TODAY(),"Y")</f>
        <v>5</v>
      </c>
      <c r="J749" s="55" t="s">
        <v>257</v>
      </c>
      <c r="K749" s="56">
        <v>46390</v>
      </c>
      <c r="L749" s="57">
        <v>5</v>
      </c>
    </row>
    <row r="750" spans="1:12" ht="15" x14ac:dyDescent="0.25">
      <c r="A750" s="42" t="s">
        <v>413</v>
      </c>
      <c r="B750" s="49" t="s">
        <v>285</v>
      </c>
      <c r="C750" s="42" t="s">
        <v>930</v>
      </c>
      <c r="D750" s="75">
        <v>891224981</v>
      </c>
      <c r="E750" s="76">
        <v>2526391402</v>
      </c>
      <c r="F750" s="42" t="s">
        <v>261</v>
      </c>
      <c r="G750" s="84">
        <v>34140</v>
      </c>
      <c r="H750" s="108" t="str">
        <f>CHOOSE(MONTH(G750),"January","February","March","April","May","June","July","August","September","October","November","December")</f>
        <v>June</v>
      </c>
      <c r="I750" s="54">
        <f ca="1">DATEDIF(G750,TODAY(),"Y")</f>
        <v>23</v>
      </c>
      <c r="J750" s="55" t="s">
        <v>276</v>
      </c>
      <c r="K750" s="56">
        <v>11230</v>
      </c>
      <c r="L750" s="57">
        <v>4</v>
      </c>
    </row>
    <row r="751" spans="1:12" ht="15" x14ac:dyDescent="0.25">
      <c r="A751" s="42" t="s">
        <v>989</v>
      </c>
      <c r="B751" s="49" t="s">
        <v>271</v>
      </c>
      <c r="C751" s="42" t="s">
        <v>930</v>
      </c>
      <c r="D751" s="75">
        <v>657835603</v>
      </c>
      <c r="E751" s="76">
        <v>2526609693</v>
      </c>
      <c r="F751" s="42" t="s">
        <v>256</v>
      </c>
      <c r="G751" s="84">
        <v>33279</v>
      </c>
      <c r="H751" s="108" t="str">
        <f>CHOOSE(MONTH(G751),"January","February","March","April","May","June","July","August","September","October","November","December")</f>
        <v>February</v>
      </c>
      <c r="I751" s="54">
        <f ca="1">DATEDIF(G751,TODAY(),"Y")</f>
        <v>25</v>
      </c>
      <c r="J751" s="55" t="s">
        <v>257</v>
      </c>
      <c r="K751" s="56">
        <v>24200</v>
      </c>
      <c r="L751" s="57">
        <v>5</v>
      </c>
    </row>
    <row r="752" spans="1:12" ht="15" x14ac:dyDescent="0.25">
      <c r="A752" s="42" t="s">
        <v>725</v>
      </c>
      <c r="B752" s="49" t="s">
        <v>271</v>
      </c>
      <c r="C752" s="42" t="s">
        <v>930</v>
      </c>
      <c r="D752" s="75">
        <v>308317457</v>
      </c>
      <c r="E752" s="76">
        <v>9192729524</v>
      </c>
      <c r="F752" s="42" t="s">
        <v>256</v>
      </c>
      <c r="G752" s="106">
        <v>40680</v>
      </c>
      <c r="H752" s="108" t="str">
        <f>CHOOSE(MONTH(G752),"January","February","March","April","May","June","July","August","September","October","November","December")</f>
        <v>May</v>
      </c>
      <c r="I752" s="54">
        <f ca="1">DATEDIF(G752,TODAY(),"Y")</f>
        <v>5</v>
      </c>
      <c r="J752" s="55" t="s">
        <v>257</v>
      </c>
      <c r="K752" s="56">
        <v>23030</v>
      </c>
      <c r="L752" s="57">
        <v>4</v>
      </c>
    </row>
    <row r="753" spans="1:12" ht="15" x14ac:dyDescent="0.25">
      <c r="A753" s="42"/>
      <c r="B753" s="49"/>
      <c r="C753" s="114"/>
      <c r="D753" s="75"/>
      <c r="E753" s="76"/>
      <c r="F753" s="42"/>
      <c r="G753" s="106"/>
      <c r="H753" s="108"/>
      <c r="I753" s="54"/>
      <c r="J753" s="55"/>
      <c r="K753" s="56"/>
      <c r="L753" s="57"/>
    </row>
    <row r="754" spans="1:12" ht="15" x14ac:dyDescent="0.25">
      <c r="A754" s="42" t="s">
        <v>732</v>
      </c>
      <c r="B754" s="49" t="s">
        <v>245</v>
      </c>
      <c r="C754" s="42" t="s">
        <v>1025</v>
      </c>
      <c r="D754" s="75">
        <v>797985708</v>
      </c>
      <c r="E754" s="76">
        <v>9193578185</v>
      </c>
      <c r="F754" s="42" t="s">
        <v>256</v>
      </c>
      <c r="G754" s="84">
        <v>37073</v>
      </c>
      <c r="H754" s="108" t="str">
        <f>CHOOSE(MONTH(G754),"January","February","March","April","May","June","July","August","September","October","November","December")</f>
        <v>July</v>
      </c>
      <c r="I754" s="54">
        <f ca="1">DATEDIF(G754,TODAY(),"Y")</f>
        <v>15</v>
      </c>
      <c r="J754" s="55" t="s">
        <v>276</v>
      </c>
      <c r="K754" s="56">
        <v>40680</v>
      </c>
      <c r="L754" s="57">
        <v>5</v>
      </c>
    </row>
    <row r="755" spans="1:12" ht="15" x14ac:dyDescent="0.25">
      <c r="A755" s="42" t="s">
        <v>1022</v>
      </c>
      <c r="B755" s="49" t="s">
        <v>245</v>
      </c>
      <c r="C755" s="42" t="s">
        <v>1025</v>
      </c>
      <c r="D755" s="75">
        <v>776823797</v>
      </c>
      <c r="E755" s="76">
        <v>9193482736</v>
      </c>
      <c r="F755" s="42" t="s">
        <v>247</v>
      </c>
      <c r="G755" s="84">
        <v>33387</v>
      </c>
      <c r="H755" s="108" t="str">
        <f>CHOOSE(MONTH(G755),"January","February","March","April","May","June","July","August","September","October","November","December")</f>
        <v>May</v>
      </c>
      <c r="I755" s="54">
        <f ca="1">DATEDIF(G755,TODAY(),"Y")</f>
        <v>25</v>
      </c>
      <c r="J755" s="55"/>
      <c r="K755" s="56">
        <v>85510</v>
      </c>
      <c r="L755" s="57">
        <v>4</v>
      </c>
    </row>
    <row r="756" spans="1:12" ht="15" x14ac:dyDescent="0.25">
      <c r="A756" s="42" t="s">
        <v>400</v>
      </c>
      <c r="B756" s="49" t="s">
        <v>266</v>
      </c>
      <c r="C756" s="42" t="s">
        <v>1025</v>
      </c>
      <c r="D756" s="75">
        <v>443926890</v>
      </c>
      <c r="E756" s="76">
        <v>2524411859</v>
      </c>
      <c r="F756" s="42" t="s">
        <v>256</v>
      </c>
      <c r="G756" s="84">
        <v>37684</v>
      </c>
      <c r="H756" s="108" t="str">
        <f>CHOOSE(MONTH(G756),"January","February","March","April","May","June","July","August","September","October","November","December")</f>
        <v>March</v>
      </c>
      <c r="I756" s="54">
        <f ca="1">DATEDIF(G756,TODAY(),"Y")</f>
        <v>13</v>
      </c>
      <c r="J756" s="55" t="s">
        <v>283</v>
      </c>
      <c r="K756" s="56">
        <v>42800</v>
      </c>
      <c r="L756" s="57">
        <v>5</v>
      </c>
    </row>
    <row r="757" spans="1:12" ht="15" x14ac:dyDescent="0.25">
      <c r="A757" s="42" t="s">
        <v>673</v>
      </c>
      <c r="B757" s="49" t="s">
        <v>271</v>
      </c>
      <c r="C757" s="42" t="s">
        <v>1025</v>
      </c>
      <c r="D757" s="75">
        <v>106099892</v>
      </c>
      <c r="E757" s="76">
        <v>9194436681</v>
      </c>
      <c r="F757" s="42" t="s">
        <v>247</v>
      </c>
      <c r="G757" s="84">
        <v>40719</v>
      </c>
      <c r="H757" s="108" t="str">
        <f>CHOOSE(MONTH(G757),"January","February","March","April","May","June","July","August","September","October","November","December")</f>
        <v>June</v>
      </c>
      <c r="I757" s="54">
        <f ca="1">DATEDIF(G757,TODAY(),"Y")</f>
        <v>5</v>
      </c>
      <c r="J757" s="55"/>
      <c r="K757" s="56">
        <v>66132</v>
      </c>
      <c r="L757" s="57">
        <v>4</v>
      </c>
    </row>
    <row r="758" spans="1:12" ht="15" x14ac:dyDescent="0.25">
      <c r="A758" s="42" t="s">
        <v>302</v>
      </c>
      <c r="B758" s="49" t="s">
        <v>271</v>
      </c>
      <c r="C758" s="42" t="s">
        <v>1025</v>
      </c>
      <c r="D758" s="75">
        <v>510700395</v>
      </c>
      <c r="E758" s="76">
        <v>9196690862</v>
      </c>
      <c r="F758" s="42" t="s">
        <v>256</v>
      </c>
      <c r="G758" s="84">
        <v>36991</v>
      </c>
      <c r="H758" s="108" t="str">
        <f>CHOOSE(MONTH(G758),"January","February","March","April","May","June","July","August","September","October","November","December")</f>
        <v>April</v>
      </c>
      <c r="I758" s="54">
        <f ca="1">DATEDIF(G758,TODAY(),"Y")</f>
        <v>15</v>
      </c>
      <c r="J758" s="55" t="s">
        <v>257</v>
      </c>
      <c r="K758" s="56">
        <v>63670</v>
      </c>
      <c r="L758" s="57">
        <v>5</v>
      </c>
    </row>
    <row r="759" spans="1:12" ht="15" x14ac:dyDescent="0.25">
      <c r="A759" s="42"/>
      <c r="B759" s="49"/>
      <c r="C759" s="114"/>
      <c r="D759" s="75"/>
      <c r="E759" s="76"/>
      <c r="F759" s="42"/>
      <c r="G759" s="84"/>
      <c r="H759" s="108"/>
      <c r="I759" s="54"/>
      <c r="J759" s="55"/>
      <c r="K759" s="56"/>
      <c r="L759" s="57"/>
    </row>
    <row r="760" spans="1:12" ht="15" x14ac:dyDescent="0.25">
      <c r="A760" s="42" t="s">
        <v>405</v>
      </c>
      <c r="B760" s="49" t="s">
        <v>266</v>
      </c>
      <c r="C760" s="42" t="s">
        <v>1031</v>
      </c>
      <c r="D760" s="75">
        <v>827277063</v>
      </c>
      <c r="E760" s="76">
        <v>2528873234</v>
      </c>
      <c r="F760" s="42" t="s">
        <v>252</v>
      </c>
      <c r="G760" s="84">
        <v>40543</v>
      </c>
      <c r="H760" s="108" t="str">
        <f>CHOOSE(MONTH(G760),"January","February","March","April","May","June","July","August","September","October","November","December")</f>
        <v>December</v>
      </c>
      <c r="I760" s="54">
        <f ca="1">DATEDIF(G760,TODAY(),"Y")</f>
        <v>5</v>
      </c>
      <c r="J760" s="55"/>
      <c r="K760" s="56">
        <v>19044</v>
      </c>
      <c r="L760" s="57">
        <v>1</v>
      </c>
    </row>
    <row r="761" spans="1:12" ht="15" x14ac:dyDescent="0.25">
      <c r="A761" s="42" t="s">
        <v>561</v>
      </c>
      <c r="B761" s="49" t="s">
        <v>266</v>
      </c>
      <c r="C761" s="42" t="s">
        <v>1031</v>
      </c>
      <c r="D761" s="75">
        <v>495372474</v>
      </c>
      <c r="E761" s="76">
        <v>9194137278</v>
      </c>
      <c r="F761" s="42" t="s">
        <v>261</v>
      </c>
      <c r="G761" s="84">
        <v>36557</v>
      </c>
      <c r="H761" s="108" t="str">
        <f>CHOOSE(MONTH(G761),"January","February","March","April","May","June","July","August","September","October","November","December")</f>
        <v>February</v>
      </c>
      <c r="I761" s="54">
        <f ca="1">DATEDIF(G761,TODAY(),"Y")</f>
        <v>16</v>
      </c>
      <c r="J761" s="55" t="s">
        <v>257</v>
      </c>
      <c r="K761" s="56">
        <v>31250</v>
      </c>
      <c r="L761" s="57">
        <v>2</v>
      </c>
    </row>
    <row r="762" spans="1:12" ht="15" x14ac:dyDescent="0.25">
      <c r="A762" s="42" t="s">
        <v>406</v>
      </c>
      <c r="B762" s="49" t="s">
        <v>285</v>
      </c>
      <c r="C762" s="42" t="s">
        <v>1031</v>
      </c>
      <c r="D762" s="75">
        <v>978092408</v>
      </c>
      <c r="E762" s="76">
        <v>9191888279</v>
      </c>
      <c r="F762" s="42" t="s">
        <v>247</v>
      </c>
      <c r="G762" s="84">
        <v>34525</v>
      </c>
      <c r="H762" s="108" t="str">
        <f>CHOOSE(MONTH(G762),"January","February","March","April","May","June","July","August","September","October","November","December")</f>
        <v>July</v>
      </c>
      <c r="I762" s="54">
        <f ca="1">DATEDIF(G762,TODAY(),"Y")</f>
        <v>22</v>
      </c>
      <c r="J762" s="55"/>
      <c r="K762" s="56">
        <v>64720</v>
      </c>
      <c r="L762" s="57">
        <v>5</v>
      </c>
    </row>
    <row r="763" spans="1:12" ht="15" x14ac:dyDescent="0.25">
      <c r="A763" s="42" t="s">
        <v>894</v>
      </c>
      <c r="B763" s="49" t="s">
        <v>285</v>
      </c>
      <c r="C763" s="42" t="s">
        <v>1031</v>
      </c>
      <c r="D763" s="75">
        <v>183135788</v>
      </c>
      <c r="E763" s="76">
        <v>2521198851</v>
      </c>
      <c r="F763" s="42" t="s">
        <v>247</v>
      </c>
      <c r="G763" s="84">
        <v>34003</v>
      </c>
      <c r="H763" s="108" t="str">
        <f>CHOOSE(MONTH(G763),"January","February","March","April","May","June","July","August","September","October","November","December")</f>
        <v>February</v>
      </c>
      <c r="I763" s="54">
        <f ca="1">DATEDIF(G763,TODAY(),"Y")</f>
        <v>23</v>
      </c>
      <c r="J763" s="55"/>
      <c r="K763" s="56">
        <v>60760</v>
      </c>
      <c r="L763" s="57">
        <v>2</v>
      </c>
    </row>
    <row r="764" spans="1:12" ht="15" x14ac:dyDescent="0.25">
      <c r="A764" s="42" t="s">
        <v>737</v>
      </c>
      <c r="B764" s="49" t="s">
        <v>251</v>
      </c>
      <c r="C764" s="42" t="s">
        <v>1031</v>
      </c>
      <c r="D764" s="75">
        <v>383616821</v>
      </c>
      <c r="E764" s="76">
        <v>2524989537</v>
      </c>
      <c r="F764" s="42" t="s">
        <v>256</v>
      </c>
      <c r="G764" s="84">
        <v>40384</v>
      </c>
      <c r="H764" s="108" t="str">
        <f>CHOOSE(MONTH(G764),"January","February","March","April","May","June","July","August","September","October","November","December")</f>
        <v>July</v>
      </c>
      <c r="I764" s="54">
        <f ca="1">DATEDIF(G764,TODAY(),"Y")</f>
        <v>6</v>
      </c>
      <c r="J764" s="55" t="s">
        <v>257</v>
      </c>
      <c r="K764" s="56">
        <v>46680</v>
      </c>
      <c r="L764" s="57"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910"/>
  <sheetViews>
    <sheetView zoomScale="145" zoomScaleNormal="145" workbookViewId="0">
      <selection activeCell="B35" sqref="B35"/>
    </sheetView>
  </sheetViews>
  <sheetFormatPr defaultRowHeight="15" x14ac:dyDescent="0.25"/>
  <cols>
    <col min="1" max="1" width="11.85546875" style="234" bestFit="1" customWidth="1"/>
    <col min="2" max="2" width="26.42578125" style="234" customWidth="1"/>
    <col min="3" max="3" width="12.140625" style="234" customWidth="1"/>
    <col min="4" max="4" width="28.7109375" style="234" customWidth="1"/>
    <col min="5" max="5" width="16.5703125" style="234" customWidth="1"/>
    <col min="6" max="6" width="13.28515625" style="234" customWidth="1"/>
    <col min="7" max="8" width="9.140625" style="234"/>
    <col min="9" max="9" width="21.7109375" style="234" customWidth="1"/>
    <col min="10" max="10" width="5" style="234" bestFit="1" customWidth="1"/>
    <col min="11" max="11" width="3.42578125" style="234" bestFit="1" customWidth="1"/>
    <col min="12" max="16384" width="9.140625" style="234"/>
  </cols>
  <sheetData>
    <row r="1" spans="1:11" x14ac:dyDescent="0.25">
      <c r="A1" s="237" t="s">
        <v>1634</v>
      </c>
      <c r="B1" s="237"/>
      <c r="C1" s="237" t="s">
        <v>1633</v>
      </c>
      <c r="D1" s="237"/>
      <c r="E1" s="237" t="s">
        <v>1632</v>
      </c>
      <c r="J1" s="234" t="s">
        <v>248</v>
      </c>
      <c r="K1" s="234">
        <v>1</v>
      </c>
    </row>
    <row r="2" spans="1:11" x14ac:dyDescent="0.25">
      <c r="A2" s="234" t="s">
        <v>1585</v>
      </c>
      <c r="B2" s="236"/>
      <c r="C2" s="234" t="s">
        <v>1584</v>
      </c>
      <c r="D2" s="236"/>
      <c r="E2" s="235" t="s">
        <v>1631</v>
      </c>
      <c r="F2" s="236"/>
      <c r="J2" s="234" t="s">
        <v>253</v>
      </c>
      <c r="K2" s="234">
        <v>2</v>
      </c>
    </row>
    <row r="3" spans="1:11" x14ac:dyDescent="0.25">
      <c r="A3" s="234" t="s">
        <v>1605</v>
      </c>
      <c r="C3" s="234" t="s">
        <v>1604</v>
      </c>
      <c r="E3" s="235" t="s">
        <v>1629</v>
      </c>
      <c r="J3" s="234" t="s">
        <v>258</v>
      </c>
      <c r="K3" s="234">
        <v>3</v>
      </c>
    </row>
    <row r="4" spans="1:11" x14ac:dyDescent="0.25">
      <c r="A4" s="234" t="s">
        <v>1609</v>
      </c>
      <c r="C4" s="234" t="s">
        <v>1608</v>
      </c>
      <c r="E4" s="235" t="s">
        <v>1630</v>
      </c>
      <c r="J4" s="234" t="s">
        <v>263</v>
      </c>
      <c r="K4" s="234">
        <v>4</v>
      </c>
    </row>
    <row r="5" spans="1:11" x14ac:dyDescent="0.25">
      <c r="A5" s="234" t="s">
        <v>1613</v>
      </c>
      <c r="C5" s="234" t="s">
        <v>1612</v>
      </c>
      <c r="E5" s="235" t="s">
        <v>1629</v>
      </c>
      <c r="J5" s="234" t="s">
        <v>268</v>
      </c>
      <c r="K5" s="234">
        <v>5</v>
      </c>
    </row>
    <row r="6" spans="1:11" x14ac:dyDescent="0.25">
      <c r="A6" s="234" t="s">
        <v>1585</v>
      </c>
      <c r="C6" s="234" t="s">
        <v>1584</v>
      </c>
      <c r="E6" s="235" t="s">
        <v>1628</v>
      </c>
      <c r="J6" s="234" t="s">
        <v>273</v>
      </c>
      <c r="K6" s="234">
        <v>6</v>
      </c>
    </row>
    <row r="7" spans="1:11" x14ac:dyDescent="0.25">
      <c r="A7" s="234" t="s">
        <v>1599</v>
      </c>
      <c r="C7" s="234" t="s">
        <v>1598</v>
      </c>
      <c r="E7" s="235" t="s">
        <v>1627</v>
      </c>
      <c r="J7" s="234" t="s">
        <v>249</v>
      </c>
      <c r="K7" s="234">
        <v>7</v>
      </c>
    </row>
    <row r="8" spans="1:11" x14ac:dyDescent="0.25">
      <c r="A8" s="234" t="s">
        <v>1583</v>
      </c>
      <c r="C8" s="234" t="s">
        <v>1582</v>
      </c>
      <c r="E8" s="235" t="s">
        <v>1626</v>
      </c>
      <c r="J8" s="234" t="s">
        <v>254</v>
      </c>
      <c r="K8" s="234">
        <v>8</v>
      </c>
    </row>
    <row r="9" spans="1:11" x14ac:dyDescent="0.25">
      <c r="A9" s="234" t="s">
        <v>1609</v>
      </c>
      <c r="C9" s="234" t="s">
        <v>1608</v>
      </c>
      <c r="E9" s="235" t="s">
        <v>1625</v>
      </c>
      <c r="J9" s="234" t="s">
        <v>259</v>
      </c>
      <c r="K9" s="234">
        <v>9</v>
      </c>
    </row>
    <row r="10" spans="1:11" x14ac:dyDescent="0.25">
      <c r="A10" s="234" t="s">
        <v>1615</v>
      </c>
      <c r="C10" s="234" t="s">
        <v>1614</v>
      </c>
      <c r="E10" s="235" t="s">
        <v>1624</v>
      </c>
      <c r="J10" s="234" t="s">
        <v>264</v>
      </c>
      <c r="K10" s="234">
        <v>10</v>
      </c>
    </row>
    <row r="11" spans="1:11" x14ac:dyDescent="0.25">
      <c r="A11" s="234" t="s">
        <v>1587</v>
      </c>
      <c r="C11" s="234" t="s">
        <v>1586</v>
      </c>
      <c r="J11" s="234" t="s">
        <v>269</v>
      </c>
      <c r="K11" s="234">
        <v>11</v>
      </c>
    </row>
    <row r="12" spans="1:11" x14ac:dyDescent="0.25">
      <c r="A12" s="234" t="s">
        <v>1587</v>
      </c>
      <c r="C12" s="234" t="s">
        <v>1586</v>
      </c>
      <c r="J12" s="234" t="s">
        <v>274</v>
      </c>
      <c r="K12" s="234">
        <v>12</v>
      </c>
    </row>
    <row r="13" spans="1:11" x14ac:dyDescent="0.25">
      <c r="A13" s="234" t="s">
        <v>1591</v>
      </c>
      <c r="C13" s="234" t="s">
        <v>1590</v>
      </c>
    </row>
    <row r="14" spans="1:11" x14ac:dyDescent="0.25">
      <c r="A14" s="234" t="s">
        <v>1617</v>
      </c>
      <c r="C14" s="234" t="s">
        <v>1616</v>
      </c>
    </row>
    <row r="15" spans="1:11" x14ac:dyDescent="0.25">
      <c r="A15" s="234" t="s">
        <v>1621</v>
      </c>
      <c r="C15" s="234" t="s">
        <v>1620</v>
      </c>
    </row>
    <row r="16" spans="1:11" x14ac:dyDescent="0.25">
      <c r="A16" s="234" t="s">
        <v>1577</v>
      </c>
      <c r="C16" s="234" t="s">
        <v>1576</v>
      </c>
    </row>
    <row r="17" spans="1:3" x14ac:dyDescent="0.25">
      <c r="A17" s="234" t="s">
        <v>1613</v>
      </c>
      <c r="C17" s="234" t="s">
        <v>1612</v>
      </c>
    </row>
    <row r="18" spans="1:3" x14ac:dyDescent="0.25">
      <c r="A18" s="234" t="s">
        <v>1585</v>
      </c>
      <c r="C18" s="234" t="s">
        <v>1584</v>
      </c>
    </row>
    <row r="19" spans="1:3" x14ac:dyDescent="0.25">
      <c r="A19" s="234" t="s">
        <v>1621</v>
      </c>
      <c r="C19" s="234" t="s">
        <v>1620</v>
      </c>
    </row>
    <row r="20" spans="1:3" x14ac:dyDescent="0.25">
      <c r="A20" s="234" t="s">
        <v>1587</v>
      </c>
      <c r="C20" s="234" t="s">
        <v>1586</v>
      </c>
    </row>
    <row r="21" spans="1:3" x14ac:dyDescent="0.25">
      <c r="A21" s="234" t="s">
        <v>1621</v>
      </c>
      <c r="C21" s="234" t="s">
        <v>1620</v>
      </c>
    </row>
    <row r="22" spans="1:3" x14ac:dyDescent="0.25">
      <c r="A22" s="234" t="s">
        <v>1603</v>
      </c>
      <c r="C22" s="234" t="s">
        <v>1602</v>
      </c>
    </row>
    <row r="23" spans="1:3" x14ac:dyDescent="0.25">
      <c r="A23" s="234" t="s">
        <v>1589</v>
      </c>
      <c r="C23" s="234" t="s">
        <v>1588</v>
      </c>
    </row>
    <row r="24" spans="1:3" x14ac:dyDescent="0.25">
      <c r="A24" s="234" t="s">
        <v>1585</v>
      </c>
      <c r="C24" s="234" t="s">
        <v>1584</v>
      </c>
    </row>
    <row r="25" spans="1:3" x14ac:dyDescent="0.25">
      <c r="A25" s="234" t="s">
        <v>1615</v>
      </c>
      <c r="C25" s="234" t="s">
        <v>1614</v>
      </c>
    </row>
    <row r="26" spans="1:3" x14ac:dyDescent="0.25">
      <c r="A26" s="234" t="s">
        <v>1599</v>
      </c>
      <c r="C26" s="234" t="s">
        <v>1598</v>
      </c>
    </row>
    <row r="27" spans="1:3" x14ac:dyDescent="0.25">
      <c r="A27" s="234" t="s">
        <v>1617</v>
      </c>
      <c r="C27" s="234" t="s">
        <v>1616</v>
      </c>
    </row>
    <row r="28" spans="1:3" x14ac:dyDescent="0.25">
      <c r="A28" s="234" t="s">
        <v>1591</v>
      </c>
      <c r="C28" s="234" t="s">
        <v>1590</v>
      </c>
    </row>
    <row r="29" spans="1:3" x14ac:dyDescent="0.25">
      <c r="A29" s="234" t="s">
        <v>1607</v>
      </c>
      <c r="C29" s="234" t="s">
        <v>1606</v>
      </c>
    </row>
    <row r="30" spans="1:3" x14ac:dyDescent="0.25">
      <c r="A30" s="234" t="s">
        <v>1609</v>
      </c>
      <c r="C30" s="234" t="s">
        <v>1608</v>
      </c>
    </row>
    <row r="31" spans="1:3" x14ac:dyDescent="0.25">
      <c r="A31" s="234" t="s">
        <v>1621</v>
      </c>
      <c r="C31" s="234" t="s">
        <v>1620</v>
      </c>
    </row>
    <row r="32" spans="1:3" x14ac:dyDescent="0.25">
      <c r="A32" s="234" t="s">
        <v>1613</v>
      </c>
      <c r="C32" s="234" t="s">
        <v>1612</v>
      </c>
    </row>
    <row r="33" spans="1:3" x14ac:dyDescent="0.25">
      <c r="A33" s="234" t="s">
        <v>1589</v>
      </c>
      <c r="C33" s="234" t="s">
        <v>1588</v>
      </c>
    </row>
    <row r="34" spans="1:3" x14ac:dyDescent="0.25">
      <c r="A34" s="234" t="s">
        <v>1623</v>
      </c>
      <c r="C34" s="234" t="s">
        <v>1622</v>
      </c>
    </row>
    <row r="35" spans="1:3" x14ac:dyDescent="0.25">
      <c r="A35" s="234" t="s">
        <v>1603</v>
      </c>
      <c r="C35" s="234" t="s">
        <v>1602</v>
      </c>
    </row>
    <row r="36" spans="1:3" x14ac:dyDescent="0.25">
      <c r="A36" s="234" t="s">
        <v>1599</v>
      </c>
      <c r="C36" s="234" t="s">
        <v>1598</v>
      </c>
    </row>
    <row r="37" spans="1:3" x14ac:dyDescent="0.25">
      <c r="A37" s="234" t="s">
        <v>1585</v>
      </c>
      <c r="C37" s="234" t="s">
        <v>1584</v>
      </c>
    </row>
    <row r="38" spans="1:3" x14ac:dyDescent="0.25">
      <c r="A38" s="234" t="s">
        <v>1599</v>
      </c>
      <c r="C38" s="234" t="s">
        <v>1598</v>
      </c>
    </row>
    <row r="39" spans="1:3" x14ac:dyDescent="0.25">
      <c r="A39" s="234" t="s">
        <v>1601</v>
      </c>
      <c r="C39" s="234" t="s">
        <v>1600</v>
      </c>
    </row>
    <row r="40" spans="1:3" x14ac:dyDescent="0.25">
      <c r="A40" s="234" t="s">
        <v>1581</v>
      </c>
      <c r="C40" s="234" t="s">
        <v>1580</v>
      </c>
    </row>
    <row r="41" spans="1:3" x14ac:dyDescent="0.25">
      <c r="A41" s="234" t="s">
        <v>1607</v>
      </c>
      <c r="C41" s="234" t="s">
        <v>1606</v>
      </c>
    </row>
    <row r="42" spans="1:3" x14ac:dyDescent="0.25">
      <c r="A42" s="234" t="s">
        <v>1587</v>
      </c>
      <c r="C42" s="234" t="s">
        <v>1586</v>
      </c>
    </row>
    <row r="43" spans="1:3" x14ac:dyDescent="0.25">
      <c r="A43" s="234" t="s">
        <v>1577</v>
      </c>
      <c r="C43" s="234" t="s">
        <v>1576</v>
      </c>
    </row>
    <row r="44" spans="1:3" x14ac:dyDescent="0.25">
      <c r="A44" s="234" t="s">
        <v>1591</v>
      </c>
      <c r="C44" s="234" t="s">
        <v>1590</v>
      </c>
    </row>
    <row r="45" spans="1:3" x14ac:dyDescent="0.25">
      <c r="A45" s="234" t="s">
        <v>1617</v>
      </c>
      <c r="C45" s="234" t="s">
        <v>1616</v>
      </c>
    </row>
    <row r="46" spans="1:3" x14ac:dyDescent="0.25">
      <c r="A46" s="234" t="s">
        <v>1615</v>
      </c>
      <c r="C46" s="234" t="s">
        <v>1614</v>
      </c>
    </row>
    <row r="47" spans="1:3" x14ac:dyDescent="0.25">
      <c r="A47" s="234" t="s">
        <v>1581</v>
      </c>
      <c r="C47" s="234" t="s">
        <v>1580</v>
      </c>
    </row>
    <row r="48" spans="1:3" x14ac:dyDescent="0.25">
      <c r="A48" s="234" t="s">
        <v>1613</v>
      </c>
      <c r="C48" s="234" t="s">
        <v>1612</v>
      </c>
    </row>
    <row r="49" spans="1:3" x14ac:dyDescent="0.25">
      <c r="A49" s="234" t="s">
        <v>1615</v>
      </c>
      <c r="C49" s="234" t="s">
        <v>1614</v>
      </c>
    </row>
    <row r="50" spans="1:3" x14ac:dyDescent="0.25">
      <c r="A50" s="234" t="s">
        <v>1593</v>
      </c>
      <c r="C50" s="234" t="s">
        <v>1592</v>
      </c>
    </row>
    <row r="51" spans="1:3" x14ac:dyDescent="0.25">
      <c r="A51" s="234" t="s">
        <v>1593</v>
      </c>
      <c r="C51" s="234" t="s">
        <v>1592</v>
      </c>
    </row>
    <row r="52" spans="1:3" x14ac:dyDescent="0.25">
      <c r="A52" s="234" t="s">
        <v>1593</v>
      </c>
      <c r="C52" s="234" t="s">
        <v>1592</v>
      </c>
    </row>
    <row r="53" spans="1:3" x14ac:dyDescent="0.25">
      <c r="A53" s="234" t="s">
        <v>1581</v>
      </c>
      <c r="C53" s="234" t="s">
        <v>1580</v>
      </c>
    </row>
    <row r="54" spans="1:3" x14ac:dyDescent="0.25">
      <c r="A54" s="234" t="s">
        <v>1577</v>
      </c>
      <c r="C54" s="234" t="s">
        <v>1576</v>
      </c>
    </row>
    <row r="55" spans="1:3" x14ac:dyDescent="0.25">
      <c r="A55" s="234" t="s">
        <v>1583</v>
      </c>
      <c r="C55" s="234" t="s">
        <v>1582</v>
      </c>
    </row>
    <row r="56" spans="1:3" x14ac:dyDescent="0.25">
      <c r="A56" s="234" t="s">
        <v>1583</v>
      </c>
      <c r="C56" s="234" t="s">
        <v>1582</v>
      </c>
    </row>
    <row r="57" spans="1:3" x14ac:dyDescent="0.25">
      <c r="A57" s="234" t="s">
        <v>1577</v>
      </c>
      <c r="C57" s="234" t="s">
        <v>1576</v>
      </c>
    </row>
    <row r="58" spans="1:3" x14ac:dyDescent="0.25">
      <c r="A58" s="234" t="s">
        <v>1579</v>
      </c>
      <c r="C58" s="234" t="s">
        <v>1578</v>
      </c>
    </row>
    <row r="59" spans="1:3" x14ac:dyDescent="0.25">
      <c r="A59" s="234" t="s">
        <v>1595</v>
      </c>
      <c r="C59" s="234" t="s">
        <v>1594</v>
      </c>
    </row>
    <row r="60" spans="1:3" x14ac:dyDescent="0.25">
      <c r="A60" s="234" t="s">
        <v>1617</v>
      </c>
      <c r="C60" s="234" t="s">
        <v>1616</v>
      </c>
    </row>
    <row r="61" spans="1:3" x14ac:dyDescent="0.25">
      <c r="A61" s="234" t="s">
        <v>1599</v>
      </c>
      <c r="C61" s="234" t="s">
        <v>1598</v>
      </c>
    </row>
    <row r="62" spans="1:3" x14ac:dyDescent="0.25">
      <c r="A62" s="234" t="s">
        <v>1595</v>
      </c>
      <c r="C62" s="234" t="s">
        <v>1594</v>
      </c>
    </row>
    <row r="63" spans="1:3" x14ac:dyDescent="0.25">
      <c r="A63" s="234" t="s">
        <v>1615</v>
      </c>
      <c r="C63" s="234" t="s">
        <v>1614</v>
      </c>
    </row>
    <row r="64" spans="1:3" x14ac:dyDescent="0.25">
      <c r="A64" s="234" t="s">
        <v>1597</v>
      </c>
      <c r="C64" s="234" t="s">
        <v>1596</v>
      </c>
    </row>
    <row r="65" spans="1:3" x14ac:dyDescent="0.25">
      <c r="A65" s="234" t="s">
        <v>1609</v>
      </c>
      <c r="C65" s="234" t="s">
        <v>1608</v>
      </c>
    </row>
    <row r="66" spans="1:3" x14ac:dyDescent="0.25">
      <c r="A66" s="234" t="s">
        <v>1611</v>
      </c>
      <c r="C66" s="234" t="s">
        <v>1610</v>
      </c>
    </row>
    <row r="67" spans="1:3" x14ac:dyDescent="0.25">
      <c r="A67" s="234" t="s">
        <v>1611</v>
      </c>
      <c r="C67" s="234" t="s">
        <v>1610</v>
      </c>
    </row>
    <row r="68" spans="1:3" x14ac:dyDescent="0.25">
      <c r="A68" s="234" t="s">
        <v>1613</v>
      </c>
      <c r="C68" s="234" t="s">
        <v>1612</v>
      </c>
    </row>
    <row r="69" spans="1:3" x14ac:dyDescent="0.25">
      <c r="A69" s="234" t="s">
        <v>1623</v>
      </c>
      <c r="C69" s="234" t="s">
        <v>1622</v>
      </c>
    </row>
    <row r="70" spans="1:3" x14ac:dyDescent="0.25">
      <c r="A70" s="234" t="s">
        <v>1615</v>
      </c>
      <c r="C70" s="234" t="s">
        <v>1614</v>
      </c>
    </row>
    <row r="71" spans="1:3" x14ac:dyDescent="0.25">
      <c r="A71" s="234" t="s">
        <v>1593</v>
      </c>
      <c r="C71" s="234" t="s">
        <v>1592</v>
      </c>
    </row>
    <row r="72" spans="1:3" x14ac:dyDescent="0.25">
      <c r="A72" s="234" t="s">
        <v>1613</v>
      </c>
      <c r="C72" s="234" t="s">
        <v>1612</v>
      </c>
    </row>
    <row r="73" spans="1:3" x14ac:dyDescent="0.25">
      <c r="A73" s="234" t="s">
        <v>1583</v>
      </c>
      <c r="C73" s="234" t="s">
        <v>1582</v>
      </c>
    </row>
    <row r="74" spans="1:3" x14ac:dyDescent="0.25">
      <c r="A74" s="234" t="s">
        <v>1615</v>
      </c>
      <c r="C74" s="234" t="s">
        <v>1614</v>
      </c>
    </row>
    <row r="75" spans="1:3" x14ac:dyDescent="0.25">
      <c r="A75" s="234" t="s">
        <v>1619</v>
      </c>
      <c r="C75" s="234" t="s">
        <v>1618</v>
      </c>
    </row>
    <row r="76" spans="1:3" x14ac:dyDescent="0.25">
      <c r="A76" s="234" t="s">
        <v>1617</v>
      </c>
      <c r="C76" s="234" t="s">
        <v>1616</v>
      </c>
    </row>
    <row r="77" spans="1:3" x14ac:dyDescent="0.25">
      <c r="A77" s="234" t="s">
        <v>1593</v>
      </c>
      <c r="C77" s="234" t="s">
        <v>1592</v>
      </c>
    </row>
    <row r="78" spans="1:3" x14ac:dyDescent="0.25">
      <c r="A78" s="234" t="s">
        <v>1621</v>
      </c>
      <c r="C78" s="234" t="s">
        <v>1620</v>
      </c>
    </row>
    <row r="79" spans="1:3" x14ac:dyDescent="0.25">
      <c r="A79" s="234" t="s">
        <v>1619</v>
      </c>
      <c r="C79" s="234" t="s">
        <v>1618</v>
      </c>
    </row>
    <row r="80" spans="1:3" x14ac:dyDescent="0.25">
      <c r="A80" s="234" t="s">
        <v>1607</v>
      </c>
      <c r="C80" s="234" t="s">
        <v>1606</v>
      </c>
    </row>
    <row r="81" spans="1:3" x14ac:dyDescent="0.25">
      <c r="A81" s="234" t="s">
        <v>1589</v>
      </c>
      <c r="C81" s="234" t="s">
        <v>1588</v>
      </c>
    </row>
    <row r="82" spans="1:3" x14ac:dyDescent="0.25">
      <c r="A82" s="234" t="s">
        <v>1613</v>
      </c>
      <c r="C82" s="234" t="s">
        <v>1612</v>
      </c>
    </row>
    <row r="83" spans="1:3" x14ac:dyDescent="0.25">
      <c r="A83" s="234" t="s">
        <v>1591</v>
      </c>
      <c r="C83" s="234" t="s">
        <v>1590</v>
      </c>
    </row>
    <row r="84" spans="1:3" x14ac:dyDescent="0.25">
      <c r="A84" s="234" t="s">
        <v>1613</v>
      </c>
      <c r="C84" s="234" t="s">
        <v>1612</v>
      </c>
    </row>
    <row r="85" spans="1:3" x14ac:dyDescent="0.25">
      <c r="A85" s="234" t="s">
        <v>1585</v>
      </c>
      <c r="C85" s="234" t="s">
        <v>1584</v>
      </c>
    </row>
    <row r="86" spans="1:3" x14ac:dyDescent="0.25">
      <c r="A86" s="234" t="s">
        <v>1583</v>
      </c>
      <c r="C86" s="234" t="s">
        <v>1582</v>
      </c>
    </row>
    <row r="87" spans="1:3" x14ac:dyDescent="0.25">
      <c r="A87" s="234" t="s">
        <v>1607</v>
      </c>
      <c r="C87" s="234" t="s">
        <v>1606</v>
      </c>
    </row>
    <row r="88" spans="1:3" x14ac:dyDescent="0.25">
      <c r="A88" s="234" t="s">
        <v>1621</v>
      </c>
      <c r="C88" s="234" t="s">
        <v>1620</v>
      </c>
    </row>
    <row r="89" spans="1:3" x14ac:dyDescent="0.25">
      <c r="A89" s="234" t="s">
        <v>1583</v>
      </c>
      <c r="C89" s="234" t="s">
        <v>1582</v>
      </c>
    </row>
    <row r="90" spans="1:3" x14ac:dyDescent="0.25">
      <c r="A90" s="234" t="s">
        <v>1581</v>
      </c>
      <c r="C90" s="234" t="s">
        <v>1580</v>
      </c>
    </row>
    <row r="91" spans="1:3" x14ac:dyDescent="0.25">
      <c r="A91" s="234" t="s">
        <v>1579</v>
      </c>
      <c r="C91" s="234" t="s">
        <v>1578</v>
      </c>
    </row>
    <row r="92" spans="1:3" x14ac:dyDescent="0.25">
      <c r="A92" s="234" t="s">
        <v>1597</v>
      </c>
      <c r="C92" s="234" t="s">
        <v>1596</v>
      </c>
    </row>
    <row r="93" spans="1:3" x14ac:dyDescent="0.25">
      <c r="A93" s="234" t="s">
        <v>1609</v>
      </c>
      <c r="C93" s="234" t="s">
        <v>1608</v>
      </c>
    </row>
    <row r="94" spans="1:3" x14ac:dyDescent="0.25">
      <c r="A94" s="234" t="s">
        <v>1617</v>
      </c>
      <c r="C94" s="234" t="s">
        <v>1616</v>
      </c>
    </row>
    <row r="95" spans="1:3" x14ac:dyDescent="0.25">
      <c r="A95" s="234" t="s">
        <v>1619</v>
      </c>
      <c r="C95" s="234" t="s">
        <v>1618</v>
      </c>
    </row>
    <row r="96" spans="1:3" x14ac:dyDescent="0.25">
      <c r="A96" s="234" t="s">
        <v>1593</v>
      </c>
      <c r="C96" s="234" t="s">
        <v>1592</v>
      </c>
    </row>
    <row r="97" spans="1:3" x14ac:dyDescent="0.25">
      <c r="A97" s="234" t="s">
        <v>1591</v>
      </c>
      <c r="C97" s="234" t="s">
        <v>1590</v>
      </c>
    </row>
    <row r="98" spans="1:3" x14ac:dyDescent="0.25">
      <c r="A98" s="234" t="s">
        <v>1601</v>
      </c>
      <c r="C98" s="234" t="s">
        <v>1600</v>
      </c>
    </row>
    <row r="99" spans="1:3" x14ac:dyDescent="0.25">
      <c r="A99" s="234" t="s">
        <v>1609</v>
      </c>
      <c r="C99" s="234" t="s">
        <v>1608</v>
      </c>
    </row>
    <row r="100" spans="1:3" x14ac:dyDescent="0.25">
      <c r="A100" s="234" t="s">
        <v>1607</v>
      </c>
      <c r="C100" s="234" t="s">
        <v>1606</v>
      </c>
    </row>
    <row r="101" spans="1:3" x14ac:dyDescent="0.25">
      <c r="A101" s="234" t="s">
        <v>1581</v>
      </c>
      <c r="C101" s="234" t="s">
        <v>1580</v>
      </c>
    </row>
    <row r="102" spans="1:3" x14ac:dyDescent="0.25">
      <c r="A102" s="234" t="s">
        <v>1591</v>
      </c>
      <c r="C102" s="234" t="s">
        <v>1590</v>
      </c>
    </row>
    <row r="103" spans="1:3" x14ac:dyDescent="0.25">
      <c r="A103" s="234" t="s">
        <v>1603</v>
      </c>
      <c r="C103" s="234" t="s">
        <v>1602</v>
      </c>
    </row>
    <row r="104" spans="1:3" x14ac:dyDescent="0.25">
      <c r="A104" s="234" t="s">
        <v>1579</v>
      </c>
      <c r="C104" s="234" t="s">
        <v>1578</v>
      </c>
    </row>
    <row r="105" spans="1:3" x14ac:dyDescent="0.25">
      <c r="A105" s="234" t="s">
        <v>1587</v>
      </c>
      <c r="C105" s="234" t="s">
        <v>1586</v>
      </c>
    </row>
    <row r="106" spans="1:3" x14ac:dyDescent="0.25">
      <c r="A106" s="234" t="s">
        <v>1591</v>
      </c>
      <c r="C106" s="234" t="s">
        <v>1590</v>
      </c>
    </row>
    <row r="107" spans="1:3" x14ac:dyDescent="0.25">
      <c r="A107" s="234" t="s">
        <v>1613</v>
      </c>
      <c r="C107" s="234" t="s">
        <v>1612</v>
      </c>
    </row>
    <row r="108" spans="1:3" x14ac:dyDescent="0.25">
      <c r="A108" s="234" t="s">
        <v>1623</v>
      </c>
      <c r="C108" s="234" t="s">
        <v>1622</v>
      </c>
    </row>
    <row r="109" spans="1:3" x14ac:dyDescent="0.25">
      <c r="A109" s="234" t="s">
        <v>1581</v>
      </c>
      <c r="C109" s="234" t="s">
        <v>1580</v>
      </c>
    </row>
    <row r="110" spans="1:3" x14ac:dyDescent="0.25">
      <c r="A110" s="234" t="s">
        <v>1623</v>
      </c>
      <c r="C110" s="234" t="s">
        <v>1622</v>
      </c>
    </row>
    <row r="111" spans="1:3" x14ac:dyDescent="0.25">
      <c r="A111" s="234" t="s">
        <v>1621</v>
      </c>
      <c r="C111" s="234" t="s">
        <v>1620</v>
      </c>
    </row>
    <row r="112" spans="1:3" x14ac:dyDescent="0.25">
      <c r="A112" s="234" t="s">
        <v>1613</v>
      </c>
      <c r="C112" s="234" t="s">
        <v>1612</v>
      </c>
    </row>
    <row r="113" spans="1:3" x14ac:dyDescent="0.25">
      <c r="A113" s="234" t="s">
        <v>1617</v>
      </c>
      <c r="C113" s="234" t="s">
        <v>1616</v>
      </c>
    </row>
    <row r="114" spans="1:3" x14ac:dyDescent="0.25">
      <c r="A114" s="234" t="s">
        <v>1607</v>
      </c>
      <c r="C114" s="234" t="s">
        <v>1606</v>
      </c>
    </row>
    <row r="115" spans="1:3" x14ac:dyDescent="0.25">
      <c r="A115" s="234" t="s">
        <v>1599</v>
      </c>
      <c r="C115" s="234" t="s">
        <v>1598</v>
      </c>
    </row>
    <row r="116" spans="1:3" x14ac:dyDescent="0.25">
      <c r="A116" s="234" t="s">
        <v>1599</v>
      </c>
      <c r="C116" s="234" t="s">
        <v>1598</v>
      </c>
    </row>
    <row r="117" spans="1:3" x14ac:dyDescent="0.25">
      <c r="A117" s="234" t="s">
        <v>1577</v>
      </c>
      <c r="C117" s="234" t="s">
        <v>1576</v>
      </c>
    </row>
    <row r="118" spans="1:3" x14ac:dyDescent="0.25">
      <c r="A118" s="234" t="s">
        <v>1583</v>
      </c>
      <c r="C118" s="234" t="s">
        <v>1582</v>
      </c>
    </row>
    <row r="119" spans="1:3" x14ac:dyDescent="0.25">
      <c r="A119" s="234" t="s">
        <v>1595</v>
      </c>
      <c r="C119" s="234" t="s">
        <v>1594</v>
      </c>
    </row>
    <row r="120" spans="1:3" x14ac:dyDescent="0.25">
      <c r="A120" s="234" t="s">
        <v>1581</v>
      </c>
      <c r="C120" s="234" t="s">
        <v>1580</v>
      </c>
    </row>
    <row r="121" spans="1:3" x14ac:dyDescent="0.25">
      <c r="A121" s="234" t="s">
        <v>1595</v>
      </c>
      <c r="C121" s="234" t="s">
        <v>1594</v>
      </c>
    </row>
    <row r="122" spans="1:3" x14ac:dyDescent="0.25">
      <c r="A122" s="234" t="s">
        <v>1621</v>
      </c>
      <c r="C122" s="234" t="s">
        <v>1620</v>
      </c>
    </row>
    <row r="123" spans="1:3" x14ac:dyDescent="0.25">
      <c r="A123" s="234" t="s">
        <v>1613</v>
      </c>
      <c r="C123" s="234" t="s">
        <v>1612</v>
      </c>
    </row>
    <row r="124" spans="1:3" x14ac:dyDescent="0.25">
      <c r="A124" s="234" t="s">
        <v>1607</v>
      </c>
      <c r="C124" s="234" t="s">
        <v>1606</v>
      </c>
    </row>
    <row r="125" spans="1:3" x14ac:dyDescent="0.25">
      <c r="A125" s="234" t="s">
        <v>1579</v>
      </c>
      <c r="C125" s="234" t="s">
        <v>1578</v>
      </c>
    </row>
    <row r="126" spans="1:3" x14ac:dyDescent="0.25">
      <c r="A126" s="234" t="s">
        <v>1619</v>
      </c>
      <c r="C126" s="234" t="s">
        <v>1618</v>
      </c>
    </row>
    <row r="127" spans="1:3" x14ac:dyDescent="0.25">
      <c r="A127" s="234" t="s">
        <v>1591</v>
      </c>
      <c r="C127" s="234" t="s">
        <v>1590</v>
      </c>
    </row>
    <row r="128" spans="1:3" x14ac:dyDescent="0.25">
      <c r="A128" s="234" t="s">
        <v>1585</v>
      </c>
      <c r="C128" s="234" t="s">
        <v>1584</v>
      </c>
    </row>
    <row r="129" spans="1:3" x14ac:dyDescent="0.25">
      <c r="A129" s="234" t="s">
        <v>1601</v>
      </c>
      <c r="C129" s="234" t="s">
        <v>1600</v>
      </c>
    </row>
    <row r="130" spans="1:3" x14ac:dyDescent="0.25">
      <c r="A130" s="234" t="s">
        <v>1587</v>
      </c>
      <c r="C130" s="234" t="s">
        <v>1586</v>
      </c>
    </row>
    <row r="131" spans="1:3" x14ac:dyDescent="0.25">
      <c r="A131" s="234" t="s">
        <v>1609</v>
      </c>
      <c r="C131" s="234" t="s">
        <v>1608</v>
      </c>
    </row>
    <row r="132" spans="1:3" x14ac:dyDescent="0.25">
      <c r="A132" s="234" t="s">
        <v>1581</v>
      </c>
      <c r="C132" s="234" t="s">
        <v>1580</v>
      </c>
    </row>
    <row r="133" spans="1:3" x14ac:dyDescent="0.25">
      <c r="A133" s="234" t="s">
        <v>1591</v>
      </c>
      <c r="C133" s="234" t="s">
        <v>1590</v>
      </c>
    </row>
    <row r="134" spans="1:3" x14ac:dyDescent="0.25">
      <c r="A134" s="234" t="s">
        <v>1581</v>
      </c>
      <c r="C134" s="234" t="s">
        <v>1580</v>
      </c>
    </row>
    <row r="135" spans="1:3" x14ac:dyDescent="0.25">
      <c r="A135" s="234" t="s">
        <v>1603</v>
      </c>
      <c r="C135" s="234" t="s">
        <v>1602</v>
      </c>
    </row>
    <row r="136" spans="1:3" x14ac:dyDescent="0.25">
      <c r="A136" s="234" t="s">
        <v>1599</v>
      </c>
      <c r="C136" s="234" t="s">
        <v>1598</v>
      </c>
    </row>
    <row r="137" spans="1:3" x14ac:dyDescent="0.25">
      <c r="A137" s="234" t="s">
        <v>1605</v>
      </c>
      <c r="C137" s="234" t="s">
        <v>1604</v>
      </c>
    </row>
    <row r="138" spans="1:3" x14ac:dyDescent="0.25">
      <c r="A138" s="234" t="s">
        <v>1621</v>
      </c>
      <c r="C138" s="234" t="s">
        <v>1620</v>
      </c>
    </row>
    <row r="139" spans="1:3" x14ac:dyDescent="0.25">
      <c r="A139" s="234" t="s">
        <v>1611</v>
      </c>
      <c r="C139" s="234" t="s">
        <v>1610</v>
      </c>
    </row>
    <row r="140" spans="1:3" x14ac:dyDescent="0.25">
      <c r="A140" s="234" t="s">
        <v>1585</v>
      </c>
      <c r="C140" s="234" t="s">
        <v>1584</v>
      </c>
    </row>
    <row r="141" spans="1:3" x14ac:dyDescent="0.25">
      <c r="A141" s="234" t="s">
        <v>1603</v>
      </c>
      <c r="C141" s="234" t="s">
        <v>1602</v>
      </c>
    </row>
    <row r="142" spans="1:3" x14ac:dyDescent="0.25">
      <c r="A142" s="234" t="s">
        <v>1587</v>
      </c>
      <c r="C142" s="234" t="s">
        <v>1586</v>
      </c>
    </row>
    <row r="143" spans="1:3" x14ac:dyDescent="0.25">
      <c r="A143" s="234" t="s">
        <v>1609</v>
      </c>
      <c r="C143" s="234" t="s">
        <v>1608</v>
      </c>
    </row>
    <row r="144" spans="1:3" x14ac:dyDescent="0.25">
      <c r="A144" s="234" t="s">
        <v>1603</v>
      </c>
      <c r="C144" s="234" t="s">
        <v>1602</v>
      </c>
    </row>
    <row r="145" spans="1:3" x14ac:dyDescent="0.25">
      <c r="A145" s="234" t="s">
        <v>1605</v>
      </c>
      <c r="C145" s="234" t="s">
        <v>1604</v>
      </c>
    </row>
    <row r="146" spans="1:3" x14ac:dyDescent="0.25">
      <c r="A146" s="234" t="s">
        <v>1599</v>
      </c>
      <c r="C146" s="234" t="s">
        <v>1598</v>
      </c>
    </row>
    <row r="147" spans="1:3" x14ac:dyDescent="0.25">
      <c r="A147" s="234" t="s">
        <v>1603</v>
      </c>
      <c r="C147" s="234" t="s">
        <v>1602</v>
      </c>
    </row>
    <row r="148" spans="1:3" x14ac:dyDescent="0.25">
      <c r="A148" s="234" t="s">
        <v>1623</v>
      </c>
      <c r="C148" s="234" t="s">
        <v>1622</v>
      </c>
    </row>
    <row r="149" spans="1:3" x14ac:dyDescent="0.25">
      <c r="A149" s="234" t="s">
        <v>1609</v>
      </c>
      <c r="C149" s="234" t="s">
        <v>1608</v>
      </c>
    </row>
    <row r="150" spans="1:3" x14ac:dyDescent="0.25">
      <c r="A150" s="234" t="s">
        <v>1597</v>
      </c>
      <c r="C150" s="234" t="s">
        <v>1596</v>
      </c>
    </row>
    <row r="151" spans="1:3" x14ac:dyDescent="0.25">
      <c r="A151" s="234" t="s">
        <v>1597</v>
      </c>
      <c r="C151" s="234" t="s">
        <v>1596</v>
      </c>
    </row>
    <row r="152" spans="1:3" x14ac:dyDescent="0.25">
      <c r="A152" s="234" t="s">
        <v>1595</v>
      </c>
      <c r="C152" s="234" t="s">
        <v>1594</v>
      </c>
    </row>
    <row r="153" spans="1:3" x14ac:dyDescent="0.25">
      <c r="A153" s="234" t="s">
        <v>1615</v>
      </c>
      <c r="C153" s="234" t="s">
        <v>1614</v>
      </c>
    </row>
    <row r="154" spans="1:3" x14ac:dyDescent="0.25">
      <c r="A154" s="234" t="s">
        <v>1601</v>
      </c>
      <c r="C154" s="234" t="s">
        <v>1600</v>
      </c>
    </row>
    <row r="155" spans="1:3" x14ac:dyDescent="0.25">
      <c r="A155" s="234" t="s">
        <v>1623</v>
      </c>
      <c r="C155" s="234" t="s">
        <v>1622</v>
      </c>
    </row>
    <row r="156" spans="1:3" x14ac:dyDescent="0.25">
      <c r="A156" s="234" t="s">
        <v>1581</v>
      </c>
      <c r="C156" s="234" t="s">
        <v>1580</v>
      </c>
    </row>
    <row r="157" spans="1:3" x14ac:dyDescent="0.25">
      <c r="A157" s="234" t="s">
        <v>1581</v>
      </c>
      <c r="C157" s="234" t="s">
        <v>1580</v>
      </c>
    </row>
    <row r="158" spans="1:3" x14ac:dyDescent="0.25">
      <c r="A158" s="234" t="s">
        <v>1599</v>
      </c>
      <c r="C158" s="234" t="s">
        <v>1598</v>
      </c>
    </row>
    <row r="159" spans="1:3" x14ac:dyDescent="0.25">
      <c r="A159" s="234" t="s">
        <v>1605</v>
      </c>
      <c r="C159" s="234" t="s">
        <v>1604</v>
      </c>
    </row>
    <row r="160" spans="1:3" x14ac:dyDescent="0.25">
      <c r="A160" s="234" t="s">
        <v>1595</v>
      </c>
      <c r="C160" s="234" t="s">
        <v>1594</v>
      </c>
    </row>
    <row r="161" spans="1:3" x14ac:dyDescent="0.25">
      <c r="A161" s="234" t="s">
        <v>1577</v>
      </c>
      <c r="C161" s="234" t="s">
        <v>1576</v>
      </c>
    </row>
    <row r="162" spans="1:3" x14ac:dyDescent="0.25">
      <c r="A162" s="234" t="s">
        <v>1585</v>
      </c>
      <c r="C162" s="234" t="s">
        <v>1584</v>
      </c>
    </row>
    <row r="163" spans="1:3" x14ac:dyDescent="0.25">
      <c r="A163" s="234" t="s">
        <v>1581</v>
      </c>
      <c r="C163" s="234" t="s">
        <v>1580</v>
      </c>
    </row>
    <row r="164" spans="1:3" x14ac:dyDescent="0.25">
      <c r="A164" s="234" t="s">
        <v>1613</v>
      </c>
      <c r="C164" s="234" t="s">
        <v>1612</v>
      </c>
    </row>
    <row r="165" spans="1:3" x14ac:dyDescent="0.25">
      <c r="A165" s="234" t="s">
        <v>1591</v>
      </c>
      <c r="C165" s="234" t="s">
        <v>1590</v>
      </c>
    </row>
    <row r="166" spans="1:3" x14ac:dyDescent="0.25">
      <c r="A166" s="234" t="s">
        <v>1607</v>
      </c>
      <c r="C166" s="234" t="s">
        <v>1606</v>
      </c>
    </row>
    <row r="167" spans="1:3" x14ac:dyDescent="0.25">
      <c r="A167" s="234" t="s">
        <v>1587</v>
      </c>
      <c r="C167" s="234" t="s">
        <v>1586</v>
      </c>
    </row>
    <row r="168" spans="1:3" x14ac:dyDescent="0.25">
      <c r="A168" s="234" t="s">
        <v>1615</v>
      </c>
      <c r="C168" s="234" t="s">
        <v>1614</v>
      </c>
    </row>
    <row r="169" spans="1:3" x14ac:dyDescent="0.25">
      <c r="A169" s="234" t="s">
        <v>1607</v>
      </c>
      <c r="C169" s="234" t="s">
        <v>1606</v>
      </c>
    </row>
    <row r="170" spans="1:3" x14ac:dyDescent="0.25">
      <c r="A170" s="234" t="s">
        <v>1581</v>
      </c>
      <c r="C170" s="234" t="s">
        <v>1580</v>
      </c>
    </row>
    <row r="171" spans="1:3" x14ac:dyDescent="0.25">
      <c r="A171" s="234" t="s">
        <v>1593</v>
      </c>
      <c r="C171" s="234" t="s">
        <v>1592</v>
      </c>
    </row>
    <row r="172" spans="1:3" x14ac:dyDescent="0.25">
      <c r="A172" s="234" t="s">
        <v>1621</v>
      </c>
      <c r="C172" s="234" t="s">
        <v>1620</v>
      </c>
    </row>
    <row r="173" spans="1:3" x14ac:dyDescent="0.25">
      <c r="A173" s="234" t="s">
        <v>1615</v>
      </c>
      <c r="C173" s="234" t="s">
        <v>1614</v>
      </c>
    </row>
    <row r="174" spans="1:3" x14ac:dyDescent="0.25">
      <c r="A174" s="234" t="s">
        <v>1611</v>
      </c>
      <c r="C174" s="234" t="s">
        <v>1610</v>
      </c>
    </row>
    <row r="175" spans="1:3" x14ac:dyDescent="0.25">
      <c r="A175" s="234" t="s">
        <v>1605</v>
      </c>
      <c r="C175" s="234" t="s">
        <v>1604</v>
      </c>
    </row>
    <row r="176" spans="1:3" x14ac:dyDescent="0.25">
      <c r="A176" s="234" t="s">
        <v>1597</v>
      </c>
      <c r="C176" s="234" t="s">
        <v>1596</v>
      </c>
    </row>
    <row r="177" spans="1:3" x14ac:dyDescent="0.25">
      <c r="A177" s="234" t="s">
        <v>1589</v>
      </c>
      <c r="C177" s="234" t="s">
        <v>1588</v>
      </c>
    </row>
    <row r="178" spans="1:3" x14ac:dyDescent="0.25">
      <c r="A178" s="234" t="s">
        <v>1609</v>
      </c>
      <c r="C178" s="234" t="s">
        <v>1608</v>
      </c>
    </row>
    <row r="179" spans="1:3" x14ac:dyDescent="0.25">
      <c r="A179" s="234" t="s">
        <v>1595</v>
      </c>
      <c r="C179" s="234" t="s">
        <v>1594</v>
      </c>
    </row>
    <row r="180" spans="1:3" x14ac:dyDescent="0.25">
      <c r="A180" s="234" t="s">
        <v>1615</v>
      </c>
      <c r="C180" s="234" t="s">
        <v>1614</v>
      </c>
    </row>
    <row r="181" spans="1:3" x14ac:dyDescent="0.25">
      <c r="A181" s="234" t="s">
        <v>1577</v>
      </c>
      <c r="C181" s="234" t="s">
        <v>1576</v>
      </c>
    </row>
    <row r="182" spans="1:3" x14ac:dyDescent="0.25">
      <c r="A182" s="234" t="s">
        <v>1585</v>
      </c>
      <c r="C182" s="234" t="s">
        <v>1584</v>
      </c>
    </row>
    <row r="183" spans="1:3" x14ac:dyDescent="0.25">
      <c r="A183" s="234" t="s">
        <v>1587</v>
      </c>
      <c r="C183" s="234" t="s">
        <v>1586</v>
      </c>
    </row>
    <row r="184" spans="1:3" x14ac:dyDescent="0.25">
      <c r="A184" s="234" t="s">
        <v>1585</v>
      </c>
      <c r="C184" s="234" t="s">
        <v>1584</v>
      </c>
    </row>
    <row r="185" spans="1:3" x14ac:dyDescent="0.25">
      <c r="A185" s="234" t="s">
        <v>1609</v>
      </c>
      <c r="C185" s="234" t="s">
        <v>1608</v>
      </c>
    </row>
    <row r="186" spans="1:3" x14ac:dyDescent="0.25">
      <c r="A186" s="234" t="s">
        <v>1595</v>
      </c>
      <c r="C186" s="234" t="s">
        <v>1594</v>
      </c>
    </row>
    <row r="187" spans="1:3" x14ac:dyDescent="0.25">
      <c r="A187" s="234" t="s">
        <v>1617</v>
      </c>
      <c r="C187" s="234" t="s">
        <v>1616</v>
      </c>
    </row>
    <row r="188" spans="1:3" x14ac:dyDescent="0.25">
      <c r="A188" s="234" t="s">
        <v>1623</v>
      </c>
      <c r="C188" s="234" t="s">
        <v>1622</v>
      </c>
    </row>
    <row r="189" spans="1:3" x14ac:dyDescent="0.25">
      <c r="A189" s="234" t="s">
        <v>1579</v>
      </c>
      <c r="C189" s="234" t="s">
        <v>1578</v>
      </c>
    </row>
    <row r="190" spans="1:3" x14ac:dyDescent="0.25">
      <c r="A190" s="234" t="s">
        <v>1581</v>
      </c>
      <c r="C190" s="234" t="s">
        <v>1580</v>
      </c>
    </row>
    <row r="191" spans="1:3" x14ac:dyDescent="0.25">
      <c r="A191" s="234" t="s">
        <v>1623</v>
      </c>
      <c r="C191" s="234" t="s">
        <v>1622</v>
      </c>
    </row>
    <row r="192" spans="1:3" x14ac:dyDescent="0.25">
      <c r="A192" s="234" t="s">
        <v>1597</v>
      </c>
      <c r="C192" s="234" t="s">
        <v>1596</v>
      </c>
    </row>
    <row r="193" spans="1:3" x14ac:dyDescent="0.25">
      <c r="A193" s="234" t="s">
        <v>1607</v>
      </c>
      <c r="C193" s="234" t="s">
        <v>1606</v>
      </c>
    </row>
    <row r="194" spans="1:3" x14ac:dyDescent="0.25">
      <c r="A194" s="234" t="s">
        <v>1593</v>
      </c>
      <c r="C194" s="234" t="s">
        <v>1592</v>
      </c>
    </row>
    <row r="195" spans="1:3" x14ac:dyDescent="0.25">
      <c r="A195" s="234" t="s">
        <v>1589</v>
      </c>
      <c r="C195" s="234" t="s">
        <v>1588</v>
      </c>
    </row>
    <row r="196" spans="1:3" x14ac:dyDescent="0.25">
      <c r="A196" s="234" t="s">
        <v>1605</v>
      </c>
      <c r="C196" s="234" t="s">
        <v>1604</v>
      </c>
    </row>
    <row r="197" spans="1:3" x14ac:dyDescent="0.25">
      <c r="A197" s="234" t="s">
        <v>1617</v>
      </c>
      <c r="C197" s="234" t="s">
        <v>1616</v>
      </c>
    </row>
    <row r="198" spans="1:3" x14ac:dyDescent="0.25">
      <c r="A198" s="234" t="s">
        <v>1593</v>
      </c>
      <c r="C198" s="234" t="s">
        <v>1592</v>
      </c>
    </row>
    <row r="199" spans="1:3" x14ac:dyDescent="0.25">
      <c r="A199" s="234" t="s">
        <v>1623</v>
      </c>
      <c r="C199" s="234" t="s">
        <v>1622</v>
      </c>
    </row>
    <row r="200" spans="1:3" x14ac:dyDescent="0.25">
      <c r="A200" s="234" t="s">
        <v>1603</v>
      </c>
      <c r="C200" s="234" t="s">
        <v>1602</v>
      </c>
    </row>
    <row r="201" spans="1:3" x14ac:dyDescent="0.25">
      <c r="A201" s="234" t="s">
        <v>1611</v>
      </c>
      <c r="C201" s="234" t="s">
        <v>1610</v>
      </c>
    </row>
    <row r="202" spans="1:3" x14ac:dyDescent="0.25">
      <c r="A202" s="234" t="s">
        <v>1623</v>
      </c>
      <c r="C202" s="234" t="s">
        <v>1622</v>
      </c>
    </row>
    <row r="203" spans="1:3" x14ac:dyDescent="0.25">
      <c r="A203" s="234" t="s">
        <v>1621</v>
      </c>
      <c r="C203" s="234" t="s">
        <v>1620</v>
      </c>
    </row>
    <row r="204" spans="1:3" x14ac:dyDescent="0.25">
      <c r="A204" s="234" t="s">
        <v>1619</v>
      </c>
      <c r="C204" s="234" t="s">
        <v>1618</v>
      </c>
    </row>
    <row r="205" spans="1:3" x14ac:dyDescent="0.25">
      <c r="A205" s="234" t="s">
        <v>1613</v>
      </c>
      <c r="C205" s="234" t="s">
        <v>1612</v>
      </c>
    </row>
    <row r="206" spans="1:3" x14ac:dyDescent="0.25">
      <c r="A206" s="234" t="s">
        <v>1621</v>
      </c>
      <c r="C206" s="234" t="s">
        <v>1620</v>
      </c>
    </row>
    <row r="207" spans="1:3" x14ac:dyDescent="0.25">
      <c r="A207" s="234" t="s">
        <v>1587</v>
      </c>
      <c r="C207" s="234" t="s">
        <v>1586</v>
      </c>
    </row>
    <row r="208" spans="1:3" x14ac:dyDescent="0.25">
      <c r="A208" s="234" t="s">
        <v>1623</v>
      </c>
      <c r="C208" s="234" t="s">
        <v>1622</v>
      </c>
    </row>
    <row r="209" spans="1:3" x14ac:dyDescent="0.25">
      <c r="A209" s="234" t="s">
        <v>1577</v>
      </c>
      <c r="C209" s="234" t="s">
        <v>1576</v>
      </c>
    </row>
    <row r="210" spans="1:3" x14ac:dyDescent="0.25">
      <c r="A210" s="234" t="s">
        <v>1587</v>
      </c>
      <c r="C210" s="234" t="s">
        <v>1586</v>
      </c>
    </row>
    <row r="211" spans="1:3" x14ac:dyDescent="0.25">
      <c r="A211" s="234" t="s">
        <v>1589</v>
      </c>
      <c r="C211" s="234" t="s">
        <v>1588</v>
      </c>
    </row>
    <row r="212" spans="1:3" x14ac:dyDescent="0.25">
      <c r="A212" s="234" t="s">
        <v>1593</v>
      </c>
      <c r="C212" s="234" t="s">
        <v>1592</v>
      </c>
    </row>
    <row r="213" spans="1:3" x14ac:dyDescent="0.25">
      <c r="A213" s="234" t="s">
        <v>1601</v>
      </c>
      <c r="C213" s="234" t="s">
        <v>1600</v>
      </c>
    </row>
    <row r="214" spans="1:3" x14ac:dyDescent="0.25">
      <c r="A214" s="234" t="s">
        <v>1621</v>
      </c>
      <c r="C214" s="234" t="s">
        <v>1620</v>
      </c>
    </row>
    <row r="215" spans="1:3" x14ac:dyDescent="0.25">
      <c r="A215" s="234" t="s">
        <v>1615</v>
      </c>
      <c r="C215" s="234" t="s">
        <v>1614</v>
      </c>
    </row>
    <row r="216" spans="1:3" x14ac:dyDescent="0.25">
      <c r="A216" s="234" t="s">
        <v>1589</v>
      </c>
      <c r="C216" s="234" t="s">
        <v>1588</v>
      </c>
    </row>
    <row r="217" spans="1:3" x14ac:dyDescent="0.25">
      <c r="A217" s="234" t="s">
        <v>1581</v>
      </c>
      <c r="C217" s="234" t="s">
        <v>1580</v>
      </c>
    </row>
    <row r="218" spans="1:3" x14ac:dyDescent="0.25">
      <c r="A218" s="234" t="s">
        <v>1599</v>
      </c>
      <c r="C218" s="234" t="s">
        <v>1598</v>
      </c>
    </row>
    <row r="219" spans="1:3" x14ac:dyDescent="0.25">
      <c r="A219" s="234" t="s">
        <v>1587</v>
      </c>
      <c r="C219" s="234" t="s">
        <v>1586</v>
      </c>
    </row>
    <row r="220" spans="1:3" x14ac:dyDescent="0.25">
      <c r="A220" s="234" t="s">
        <v>1617</v>
      </c>
      <c r="C220" s="234" t="s">
        <v>1616</v>
      </c>
    </row>
    <row r="221" spans="1:3" x14ac:dyDescent="0.25">
      <c r="A221" s="234" t="s">
        <v>1611</v>
      </c>
      <c r="C221" s="234" t="s">
        <v>1610</v>
      </c>
    </row>
    <row r="222" spans="1:3" x14ac:dyDescent="0.25">
      <c r="A222" s="234" t="s">
        <v>1591</v>
      </c>
      <c r="C222" s="234" t="s">
        <v>1590</v>
      </c>
    </row>
    <row r="223" spans="1:3" x14ac:dyDescent="0.25">
      <c r="A223" s="234" t="s">
        <v>1615</v>
      </c>
      <c r="C223" s="234" t="s">
        <v>1614</v>
      </c>
    </row>
    <row r="224" spans="1:3" x14ac:dyDescent="0.25">
      <c r="A224" s="234" t="s">
        <v>1577</v>
      </c>
      <c r="C224" s="234" t="s">
        <v>1576</v>
      </c>
    </row>
    <row r="225" spans="1:3" x14ac:dyDescent="0.25">
      <c r="A225" s="234" t="s">
        <v>1579</v>
      </c>
      <c r="C225" s="234" t="s">
        <v>1578</v>
      </c>
    </row>
    <row r="226" spans="1:3" x14ac:dyDescent="0.25">
      <c r="A226" s="234" t="s">
        <v>1587</v>
      </c>
      <c r="C226" s="234" t="s">
        <v>1586</v>
      </c>
    </row>
    <row r="227" spans="1:3" x14ac:dyDescent="0.25">
      <c r="A227" s="234" t="s">
        <v>1601</v>
      </c>
      <c r="C227" s="234" t="s">
        <v>1600</v>
      </c>
    </row>
    <row r="228" spans="1:3" x14ac:dyDescent="0.25">
      <c r="A228" s="234" t="s">
        <v>1577</v>
      </c>
      <c r="C228" s="234" t="s">
        <v>1576</v>
      </c>
    </row>
    <row r="229" spans="1:3" x14ac:dyDescent="0.25">
      <c r="A229" s="234" t="s">
        <v>1577</v>
      </c>
      <c r="C229" s="234" t="s">
        <v>1576</v>
      </c>
    </row>
    <row r="230" spans="1:3" x14ac:dyDescent="0.25">
      <c r="A230" s="234" t="s">
        <v>1609</v>
      </c>
      <c r="C230" s="234" t="s">
        <v>1608</v>
      </c>
    </row>
    <row r="231" spans="1:3" x14ac:dyDescent="0.25">
      <c r="A231" s="234" t="s">
        <v>1591</v>
      </c>
      <c r="C231" s="234" t="s">
        <v>1590</v>
      </c>
    </row>
    <row r="232" spans="1:3" x14ac:dyDescent="0.25">
      <c r="A232" s="234" t="s">
        <v>1607</v>
      </c>
      <c r="C232" s="234" t="s">
        <v>1606</v>
      </c>
    </row>
    <row r="233" spans="1:3" x14ac:dyDescent="0.25">
      <c r="A233" s="234" t="s">
        <v>1577</v>
      </c>
      <c r="C233" s="234" t="s">
        <v>1576</v>
      </c>
    </row>
    <row r="234" spans="1:3" x14ac:dyDescent="0.25">
      <c r="A234" s="234" t="s">
        <v>1601</v>
      </c>
      <c r="C234" s="234" t="s">
        <v>1600</v>
      </c>
    </row>
    <row r="235" spans="1:3" x14ac:dyDescent="0.25">
      <c r="A235" s="234" t="s">
        <v>1583</v>
      </c>
      <c r="C235" s="234" t="s">
        <v>1582</v>
      </c>
    </row>
    <row r="236" spans="1:3" x14ac:dyDescent="0.25">
      <c r="A236" s="234" t="s">
        <v>1607</v>
      </c>
      <c r="C236" s="234" t="s">
        <v>1606</v>
      </c>
    </row>
    <row r="237" spans="1:3" x14ac:dyDescent="0.25">
      <c r="A237" s="234" t="s">
        <v>1589</v>
      </c>
      <c r="C237" s="234" t="s">
        <v>1588</v>
      </c>
    </row>
    <row r="238" spans="1:3" x14ac:dyDescent="0.25">
      <c r="A238" s="234" t="s">
        <v>1599</v>
      </c>
      <c r="C238" s="234" t="s">
        <v>1598</v>
      </c>
    </row>
    <row r="239" spans="1:3" x14ac:dyDescent="0.25">
      <c r="A239" s="234" t="s">
        <v>1587</v>
      </c>
      <c r="C239" s="234" t="s">
        <v>1586</v>
      </c>
    </row>
    <row r="240" spans="1:3" x14ac:dyDescent="0.25">
      <c r="A240" s="234" t="s">
        <v>1595</v>
      </c>
      <c r="C240" s="234" t="s">
        <v>1594</v>
      </c>
    </row>
    <row r="241" spans="1:3" x14ac:dyDescent="0.25">
      <c r="A241" s="234" t="s">
        <v>1579</v>
      </c>
      <c r="C241" s="234" t="s">
        <v>1578</v>
      </c>
    </row>
    <row r="242" spans="1:3" x14ac:dyDescent="0.25">
      <c r="A242" s="234" t="s">
        <v>1603</v>
      </c>
      <c r="C242" s="234" t="s">
        <v>1602</v>
      </c>
    </row>
    <row r="243" spans="1:3" x14ac:dyDescent="0.25">
      <c r="A243" s="234" t="s">
        <v>1601</v>
      </c>
      <c r="C243" s="234" t="s">
        <v>1600</v>
      </c>
    </row>
    <row r="244" spans="1:3" x14ac:dyDescent="0.25">
      <c r="A244" s="234" t="s">
        <v>1595</v>
      </c>
      <c r="C244" s="234" t="s">
        <v>1594</v>
      </c>
    </row>
    <row r="245" spans="1:3" x14ac:dyDescent="0.25">
      <c r="A245" s="234" t="s">
        <v>1595</v>
      </c>
      <c r="C245" s="234" t="s">
        <v>1594</v>
      </c>
    </row>
    <row r="246" spans="1:3" x14ac:dyDescent="0.25">
      <c r="A246" s="234" t="s">
        <v>1581</v>
      </c>
      <c r="C246" s="234" t="s">
        <v>1580</v>
      </c>
    </row>
    <row r="247" spans="1:3" x14ac:dyDescent="0.25">
      <c r="A247" s="234" t="s">
        <v>1611</v>
      </c>
      <c r="C247" s="234" t="s">
        <v>1610</v>
      </c>
    </row>
    <row r="248" spans="1:3" x14ac:dyDescent="0.25">
      <c r="A248" s="234" t="s">
        <v>1613</v>
      </c>
      <c r="C248" s="234" t="s">
        <v>1612</v>
      </c>
    </row>
    <row r="249" spans="1:3" x14ac:dyDescent="0.25">
      <c r="A249" s="234" t="s">
        <v>1597</v>
      </c>
      <c r="C249" s="234" t="s">
        <v>1596</v>
      </c>
    </row>
    <row r="250" spans="1:3" x14ac:dyDescent="0.25">
      <c r="A250" s="234" t="s">
        <v>1603</v>
      </c>
      <c r="C250" s="234" t="s">
        <v>1602</v>
      </c>
    </row>
    <row r="251" spans="1:3" x14ac:dyDescent="0.25">
      <c r="A251" s="234" t="s">
        <v>1597</v>
      </c>
      <c r="C251" s="234" t="s">
        <v>1596</v>
      </c>
    </row>
    <row r="252" spans="1:3" x14ac:dyDescent="0.25">
      <c r="A252" s="234" t="s">
        <v>1597</v>
      </c>
      <c r="C252" s="234" t="s">
        <v>1596</v>
      </c>
    </row>
    <row r="253" spans="1:3" x14ac:dyDescent="0.25">
      <c r="A253" s="234" t="s">
        <v>1587</v>
      </c>
      <c r="C253" s="234" t="s">
        <v>1586</v>
      </c>
    </row>
    <row r="254" spans="1:3" x14ac:dyDescent="0.25">
      <c r="A254" s="234" t="s">
        <v>1581</v>
      </c>
      <c r="C254" s="234" t="s">
        <v>1580</v>
      </c>
    </row>
    <row r="255" spans="1:3" x14ac:dyDescent="0.25">
      <c r="A255" s="234" t="s">
        <v>1581</v>
      </c>
      <c r="C255" s="234" t="s">
        <v>1580</v>
      </c>
    </row>
    <row r="256" spans="1:3" x14ac:dyDescent="0.25">
      <c r="A256" s="234" t="s">
        <v>1591</v>
      </c>
      <c r="C256" s="234" t="s">
        <v>1590</v>
      </c>
    </row>
    <row r="257" spans="1:3" x14ac:dyDescent="0.25">
      <c r="A257" s="234" t="s">
        <v>1619</v>
      </c>
      <c r="C257" s="234" t="s">
        <v>1618</v>
      </c>
    </row>
    <row r="258" spans="1:3" x14ac:dyDescent="0.25">
      <c r="A258" s="234" t="s">
        <v>1585</v>
      </c>
      <c r="C258" s="234" t="s">
        <v>1584</v>
      </c>
    </row>
    <row r="259" spans="1:3" x14ac:dyDescent="0.25">
      <c r="A259" s="234" t="s">
        <v>1599</v>
      </c>
      <c r="C259" s="234" t="s">
        <v>1598</v>
      </c>
    </row>
    <row r="260" spans="1:3" x14ac:dyDescent="0.25">
      <c r="A260" s="234" t="s">
        <v>1605</v>
      </c>
      <c r="C260" s="234" t="s">
        <v>1604</v>
      </c>
    </row>
    <row r="261" spans="1:3" x14ac:dyDescent="0.25">
      <c r="A261" s="234" t="s">
        <v>1613</v>
      </c>
      <c r="C261" s="234" t="s">
        <v>1612</v>
      </c>
    </row>
    <row r="262" spans="1:3" x14ac:dyDescent="0.25">
      <c r="A262" s="234" t="s">
        <v>1595</v>
      </c>
      <c r="C262" s="234" t="s">
        <v>1594</v>
      </c>
    </row>
    <row r="263" spans="1:3" x14ac:dyDescent="0.25">
      <c r="A263" s="234" t="s">
        <v>1609</v>
      </c>
      <c r="C263" s="234" t="s">
        <v>1608</v>
      </c>
    </row>
    <row r="264" spans="1:3" x14ac:dyDescent="0.25">
      <c r="A264" s="234" t="s">
        <v>1607</v>
      </c>
      <c r="C264" s="234" t="s">
        <v>1606</v>
      </c>
    </row>
    <row r="265" spans="1:3" x14ac:dyDescent="0.25">
      <c r="A265" s="234" t="s">
        <v>1583</v>
      </c>
      <c r="C265" s="234" t="s">
        <v>1582</v>
      </c>
    </row>
    <row r="266" spans="1:3" x14ac:dyDescent="0.25">
      <c r="A266" s="234" t="s">
        <v>1609</v>
      </c>
      <c r="C266" s="234" t="s">
        <v>1608</v>
      </c>
    </row>
    <row r="267" spans="1:3" x14ac:dyDescent="0.25">
      <c r="A267" s="234" t="s">
        <v>1611</v>
      </c>
      <c r="C267" s="234" t="s">
        <v>1610</v>
      </c>
    </row>
    <row r="268" spans="1:3" x14ac:dyDescent="0.25">
      <c r="A268" s="234" t="s">
        <v>1621</v>
      </c>
      <c r="C268" s="234" t="s">
        <v>1620</v>
      </c>
    </row>
    <row r="269" spans="1:3" x14ac:dyDescent="0.25">
      <c r="A269" s="234" t="s">
        <v>1581</v>
      </c>
      <c r="C269" s="234" t="s">
        <v>1580</v>
      </c>
    </row>
    <row r="270" spans="1:3" x14ac:dyDescent="0.25">
      <c r="A270" s="234" t="s">
        <v>1591</v>
      </c>
      <c r="C270" s="234" t="s">
        <v>1590</v>
      </c>
    </row>
    <row r="271" spans="1:3" x14ac:dyDescent="0.25">
      <c r="A271" s="234" t="s">
        <v>1591</v>
      </c>
      <c r="C271" s="234" t="s">
        <v>1590</v>
      </c>
    </row>
    <row r="272" spans="1:3" x14ac:dyDescent="0.25">
      <c r="A272" s="234" t="s">
        <v>1583</v>
      </c>
      <c r="C272" s="234" t="s">
        <v>1582</v>
      </c>
    </row>
    <row r="273" spans="1:3" x14ac:dyDescent="0.25">
      <c r="A273" s="234" t="s">
        <v>1623</v>
      </c>
      <c r="C273" s="234" t="s">
        <v>1622</v>
      </c>
    </row>
    <row r="274" spans="1:3" x14ac:dyDescent="0.25">
      <c r="A274" s="234" t="s">
        <v>1591</v>
      </c>
      <c r="C274" s="234" t="s">
        <v>1590</v>
      </c>
    </row>
    <row r="275" spans="1:3" x14ac:dyDescent="0.25">
      <c r="A275" s="234" t="s">
        <v>1613</v>
      </c>
      <c r="C275" s="234" t="s">
        <v>1612</v>
      </c>
    </row>
    <row r="276" spans="1:3" x14ac:dyDescent="0.25">
      <c r="A276" s="234" t="s">
        <v>1621</v>
      </c>
      <c r="C276" s="234" t="s">
        <v>1620</v>
      </c>
    </row>
    <row r="277" spans="1:3" x14ac:dyDescent="0.25">
      <c r="A277" s="234" t="s">
        <v>1583</v>
      </c>
      <c r="C277" s="234" t="s">
        <v>1582</v>
      </c>
    </row>
    <row r="278" spans="1:3" x14ac:dyDescent="0.25">
      <c r="A278" s="234" t="s">
        <v>1615</v>
      </c>
      <c r="C278" s="234" t="s">
        <v>1614</v>
      </c>
    </row>
    <row r="279" spans="1:3" x14ac:dyDescent="0.25">
      <c r="A279" s="234" t="s">
        <v>1621</v>
      </c>
      <c r="C279" s="234" t="s">
        <v>1620</v>
      </c>
    </row>
    <row r="280" spans="1:3" x14ac:dyDescent="0.25">
      <c r="A280" s="234" t="s">
        <v>1601</v>
      </c>
      <c r="C280" s="234" t="s">
        <v>1600</v>
      </c>
    </row>
    <row r="281" spans="1:3" x14ac:dyDescent="0.25">
      <c r="A281" s="234" t="s">
        <v>1581</v>
      </c>
      <c r="C281" s="234" t="s">
        <v>1580</v>
      </c>
    </row>
    <row r="282" spans="1:3" x14ac:dyDescent="0.25">
      <c r="A282" s="234" t="s">
        <v>1583</v>
      </c>
      <c r="C282" s="234" t="s">
        <v>1582</v>
      </c>
    </row>
    <row r="283" spans="1:3" x14ac:dyDescent="0.25">
      <c r="A283" s="234" t="s">
        <v>1621</v>
      </c>
      <c r="C283" s="234" t="s">
        <v>1620</v>
      </c>
    </row>
    <row r="284" spans="1:3" x14ac:dyDescent="0.25">
      <c r="A284" s="234" t="s">
        <v>1609</v>
      </c>
      <c r="C284" s="234" t="s">
        <v>1608</v>
      </c>
    </row>
    <row r="285" spans="1:3" x14ac:dyDescent="0.25">
      <c r="A285" s="234" t="s">
        <v>1595</v>
      </c>
      <c r="C285" s="234" t="s">
        <v>1594</v>
      </c>
    </row>
    <row r="286" spans="1:3" x14ac:dyDescent="0.25">
      <c r="A286" s="234" t="s">
        <v>1583</v>
      </c>
      <c r="C286" s="234" t="s">
        <v>1582</v>
      </c>
    </row>
    <row r="287" spans="1:3" x14ac:dyDescent="0.25">
      <c r="A287" s="234" t="s">
        <v>1591</v>
      </c>
      <c r="C287" s="234" t="s">
        <v>1590</v>
      </c>
    </row>
    <row r="288" spans="1:3" x14ac:dyDescent="0.25">
      <c r="A288" s="234" t="s">
        <v>1613</v>
      </c>
      <c r="C288" s="234" t="s">
        <v>1612</v>
      </c>
    </row>
    <row r="289" spans="1:3" x14ac:dyDescent="0.25">
      <c r="A289" s="234" t="s">
        <v>1577</v>
      </c>
      <c r="C289" s="234" t="s">
        <v>1576</v>
      </c>
    </row>
    <row r="290" spans="1:3" x14ac:dyDescent="0.25">
      <c r="A290" s="234" t="s">
        <v>1591</v>
      </c>
      <c r="C290" s="234" t="s">
        <v>1590</v>
      </c>
    </row>
    <row r="291" spans="1:3" x14ac:dyDescent="0.25">
      <c r="A291" s="234" t="s">
        <v>1621</v>
      </c>
      <c r="C291" s="234" t="s">
        <v>1620</v>
      </c>
    </row>
    <row r="292" spans="1:3" x14ac:dyDescent="0.25">
      <c r="A292" s="234" t="s">
        <v>1615</v>
      </c>
      <c r="C292" s="234" t="s">
        <v>1614</v>
      </c>
    </row>
    <row r="293" spans="1:3" x14ac:dyDescent="0.25">
      <c r="A293" s="234" t="s">
        <v>1583</v>
      </c>
      <c r="C293" s="234" t="s">
        <v>1582</v>
      </c>
    </row>
    <row r="294" spans="1:3" x14ac:dyDescent="0.25">
      <c r="A294" s="234" t="s">
        <v>1601</v>
      </c>
      <c r="C294" s="234" t="s">
        <v>1600</v>
      </c>
    </row>
    <row r="295" spans="1:3" x14ac:dyDescent="0.25">
      <c r="A295" s="234" t="s">
        <v>1613</v>
      </c>
      <c r="C295" s="234" t="s">
        <v>1612</v>
      </c>
    </row>
    <row r="296" spans="1:3" x14ac:dyDescent="0.25">
      <c r="A296" s="234" t="s">
        <v>1615</v>
      </c>
      <c r="C296" s="234" t="s">
        <v>1614</v>
      </c>
    </row>
    <row r="297" spans="1:3" x14ac:dyDescent="0.25">
      <c r="A297" s="234" t="s">
        <v>1579</v>
      </c>
      <c r="C297" s="234" t="s">
        <v>1578</v>
      </c>
    </row>
    <row r="298" spans="1:3" x14ac:dyDescent="0.25">
      <c r="A298" s="234" t="s">
        <v>1603</v>
      </c>
      <c r="C298" s="234" t="s">
        <v>1602</v>
      </c>
    </row>
    <row r="299" spans="1:3" x14ac:dyDescent="0.25">
      <c r="A299" s="234" t="s">
        <v>1617</v>
      </c>
      <c r="C299" s="234" t="s">
        <v>1616</v>
      </c>
    </row>
    <row r="300" spans="1:3" x14ac:dyDescent="0.25">
      <c r="A300" s="234" t="s">
        <v>1599</v>
      </c>
      <c r="C300" s="234" t="s">
        <v>1598</v>
      </c>
    </row>
    <row r="301" spans="1:3" x14ac:dyDescent="0.25">
      <c r="A301" s="234" t="s">
        <v>1601</v>
      </c>
      <c r="C301" s="234" t="s">
        <v>1600</v>
      </c>
    </row>
    <row r="302" spans="1:3" x14ac:dyDescent="0.25">
      <c r="A302" s="234" t="s">
        <v>1589</v>
      </c>
      <c r="C302" s="234" t="s">
        <v>1588</v>
      </c>
    </row>
    <row r="303" spans="1:3" x14ac:dyDescent="0.25">
      <c r="A303" s="234" t="s">
        <v>1583</v>
      </c>
      <c r="C303" s="234" t="s">
        <v>1582</v>
      </c>
    </row>
    <row r="304" spans="1:3" x14ac:dyDescent="0.25">
      <c r="A304" s="234" t="s">
        <v>1583</v>
      </c>
      <c r="C304" s="234" t="s">
        <v>1582</v>
      </c>
    </row>
    <row r="305" spans="1:3" x14ac:dyDescent="0.25">
      <c r="A305" s="234" t="s">
        <v>1609</v>
      </c>
      <c r="C305" s="234" t="s">
        <v>1608</v>
      </c>
    </row>
    <row r="306" spans="1:3" x14ac:dyDescent="0.25">
      <c r="A306" s="234" t="s">
        <v>1611</v>
      </c>
      <c r="C306" s="234" t="s">
        <v>1610</v>
      </c>
    </row>
    <row r="307" spans="1:3" x14ac:dyDescent="0.25">
      <c r="A307" s="234" t="s">
        <v>1601</v>
      </c>
      <c r="C307" s="234" t="s">
        <v>1600</v>
      </c>
    </row>
    <row r="308" spans="1:3" x14ac:dyDescent="0.25">
      <c r="A308" s="234" t="s">
        <v>1607</v>
      </c>
      <c r="C308" s="234" t="s">
        <v>1606</v>
      </c>
    </row>
    <row r="309" spans="1:3" x14ac:dyDescent="0.25">
      <c r="A309" s="234" t="s">
        <v>1623</v>
      </c>
      <c r="C309" s="234" t="s">
        <v>1622</v>
      </c>
    </row>
    <row r="310" spans="1:3" x14ac:dyDescent="0.25">
      <c r="A310" s="234" t="s">
        <v>1597</v>
      </c>
      <c r="C310" s="234" t="s">
        <v>1596</v>
      </c>
    </row>
    <row r="311" spans="1:3" x14ac:dyDescent="0.25">
      <c r="A311" s="234" t="s">
        <v>1595</v>
      </c>
      <c r="C311" s="234" t="s">
        <v>1594</v>
      </c>
    </row>
    <row r="312" spans="1:3" x14ac:dyDescent="0.25">
      <c r="A312" s="234" t="s">
        <v>1605</v>
      </c>
      <c r="C312" s="234" t="s">
        <v>1604</v>
      </c>
    </row>
    <row r="313" spans="1:3" x14ac:dyDescent="0.25">
      <c r="A313" s="234" t="s">
        <v>1609</v>
      </c>
      <c r="C313" s="234" t="s">
        <v>1608</v>
      </c>
    </row>
    <row r="314" spans="1:3" x14ac:dyDescent="0.25">
      <c r="A314" s="234" t="s">
        <v>1605</v>
      </c>
      <c r="C314" s="234" t="s">
        <v>1604</v>
      </c>
    </row>
    <row r="315" spans="1:3" x14ac:dyDescent="0.25">
      <c r="A315" s="234" t="s">
        <v>1603</v>
      </c>
      <c r="C315" s="234" t="s">
        <v>1602</v>
      </c>
    </row>
    <row r="316" spans="1:3" x14ac:dyDescent="0.25">
      <c r="A316" s="234" t="s">
        <v>1613</v>
      </c>
      <c r="C316" s="234" t="s">
        <v>1612</v>
      </c>
    </row>
    <row r="317" spans="1:3" x14ac:dyDescent="0.25">
      <c r="A317" s="234" t="s">
        <v>1595</v>
      </c>
      <c r="C317" s="234" t="s">
        <v>1594</v>
      </c>
    </row>
    <row r="318" spans="1:3" x14ac:dyDescent="0.25">
      <c r="A318" s="234" t="s">
        <v>1619</v>
      </c>
      <c r="C318" s="234" t="s">
        <v>1618</v>
      </c>
    </row>
    <row r="319" spans="1:3" x14ac:dyDescent="0.25">
      <c r="A319" s="234" t="s">
        <v>1587</v>
      </c>
      <c r="C319" s="234" t="s">
        <v>1586</v>
      </c>
    </row>
    <row r="320" spans="1:3" x14ac:dyDescent="0.25">
      <c r="A320" s="234" t="s">
        <v>1621</v>
      </c>
      <c r="C320" s="234" t="s">
        <v>1620</v>
      </c>
    </row>
    <row r="321" spans="1:3" x14ac:dyDescent="0.25">
      <c r="A321" s="234" t="s">
        <v>1619</v>
      </c>
      <c r="C321" s="234" t="s">
        <v>1618</v>
      </c>
    </row>
    <row r="322" spans="1:3" x14ac:dyDescent="0.25">
      <c r="A322" s="234" t="s">
        <v>1579</v>
      </c>
      <c r="C322" s="234" t="s">
        <v>1578</v>
      </c>
    </row>
    <row r="323" spans="1:3" x14ac:dyDescent="0.25">
      <c r="A323" s="234" t="s">
        <v>1607</v>
      </c>
      <c r="C323" s="234" t="s">
        <v>1606</v>
      </c>
    </row>
    <row r="324" spans="1:3" x14ac:dyDescent="0.25">
      <c r="A324" s="234" t="s">
        <v>1593</v>
      </c>
      <c r="C324" s="234" t="s">
        <v>1592</v>
      </c>
    </row>
    <row r="325" spans="1:3" x14ac:dyDescent="0.25">
      <c r="A325" s="234" t="s">
        <v>1611</v>
      </c>
      <c r="C325" s="234" t="s">
        <v>1610</v>
      </c>
    </row>
    <row r="326" spans="1:3" x14ac:dyDescent="0.25">
      <c r="A326" s="234" t="s">
        <v>1601</v>
      </c>
      <c r="C326" s="234" t="s">
        <v>1600</v>
      </c>
    </row>
    <row r="327" spans="1:3" x14ac:dyDescent="0.25">
      <c r="A327" s="234" t="s">
        <v>1601</v>
      </c>
      <c r="C327" s="234" t="s">
        <v>1600</v>
      </c>
    </row>
    <row r="328" spans="1:3" x14ac:dyDescent="0.25">
      <c r="A328" s="234" t="s">
        <v>1613</v>
      </c>
      <c r="C328" s="234" t="s">
        <v>1612</v>
      </c>
    </row>
    <row r="329" spans="1:3" x14ac:dyDescent="0.25">
      <c r="A329" s="234" t="s">
        <v>1581</v>
      </c>
      <c r="C329" s="234" t="s">
        <v>1580</v>
      </c>
    </row>
    <row r="330" spans="1:3" x14ac:dyDescent="0.25">
      <c r="A330" s="234" t="s">
        <v>1607</v>
      </c>
      <c r="C330" s="234" t="s">
        <v>1606</v>
      </c>
    </row>
    <row r="331" spans="1:3" x14ac:dyDescent="0.25">
      <c r="A331" s="234" t="s">
        <v>1585</v>
      </c>
      <c r="C331" s="234" t="s">
        <v>1584</v>
      </c>
    </row>
    <row r="332" spans="1:3" x14ac:dyDescent="0.25">
      <c r="A332" s="234" t="s">
        <v>1607</v>
      </c>
      <c r="C332" s="234" t="s">
        <v>1606</v>
      </c>
    </row>
    <row r="333" spans="1:3" x14ac:dyDescent="0.25">
      <c r="A333" s="234" t="s">
        <v>1617</v>
      </c>
      <c r="C333" s="234" t="s">
        <v>1616</v>
      </c>
    </row>
    <row r="334" spans="1:3" x14ac:dyDescent="0.25">
      <c r="A334" s="234" t="s">
        <v>1609</v>
      </c>
      <c r="C334" s="234" t="s">
        <v>1608</v>
      </c>
    </row>
    <row r="335" spans="1:3" x14ac:dyDescent="0.25">
      <c r="A335" s="234" t="s">
        <v>1581</v>
      </c>
      <c r="C335" s="234" t="s">
        <v>1580</v>
      </c>
    </row>
    <row r="336" spans="1:3" x14ac:dyDescent="0.25">
      <c r="A336" s="234" t="s">
        <v>1619</v>
      </c>
      <c r="C336" s="234" t="s">
        <v>1618</v>
      </c>
    </row>
    <row r="337" spans="1:3" x14ac:dyDescent="0.25">
      <c r="A337" s="234" t="s">
        <v>1599</v>
      </c>
      <c r="C337" s="234" t="s">
        <v>1598</v>
      </c>
    </row>
    <row r="338" spans="1:3" x14ac:dyDescent="0.25">
      <c r="A338" s="234" t="s">
        <v>1611</v>
      </c>
      <c r="C338" s="234" t="s">
        <v>1610</v>
      </c>
    </row>
    <row r="339" spans="1:3" x14ac:dyDescent="0.25">
      <c r="A339" s="234" t="s">
        <v>1615</v>
      </c>
      <c r="C339" s="234" t="s">
        <v>1614</v>
      </c>
    </row>
    <row r="340" spans="1:3" x14ac:dyDescent="0.25">
      <c r="A340" s="234" t="s">
        <v>1615</v>
      </c>
      <c r="C340" s="234" t="s">
        <v>1614</v>
      </c>
    </row>
    <row r="341" spans="1:3" x14ac:dyDescent="0.25">
      <c r="A341" s="234" t="s">
        <v>1621</v>
      </c>
      <c r="C341" s="234" t="s">
        <v>1620</v>
      </c>
    </row>
    <row r="342" spans="1:3" x14ac:dyDescent="0.25">
      <c r="A342" s="234" t="s">
        <v>1623</v>
      </c>
      <c r="C342" s="234" t="s">
        <v>1622</v>
      </c>
    </row>
    <row r="343" spans="1:3" x14ac:dyDescent="0.25">
      <c r="A343" s="234" t="s">
        <v>1587</v>
      </c>
      <c r="C343" s="234" t="s">
        <v>1586</v>
      </c>
    </row>
    <row r="344" spans="1:3" x14ac:dyDescent="0.25">
      <c r="A344" s="234" t="s">
        <v>1593</v>
      </c>
      <c r="C344" s="234" t="s">
        <v>1592</v>
      </c>
    </row>
    <row r="345" spans="1:3" x14ac:dyDescent="0.25">
      <c r="A345" s="234" t="s">
        <v>1607</v>
      </c>
      <c r="C345" s="234" t="s">
        <v>1606</v>
      </c>
    </row>
    <row r="346" spans="1:3" x14ac:dyDescent="0.25">
      <c r="A346" s="234" t="s">
        <v>1617</v>
      </c>
      <c r="C346" s="234" t="s">
        <v>1616</v>
      </c>
    </row>
    <row r="347" spans="1:3" x14ac:dyDescent="0.25">
      <c r="A347" s="234" t="s">
        <v>1599</v>
      </c>
      <c r="C347" s="234" t="s">
        <v>1598</v>
      </c>
    </row>
    <row r="348" spans="1:3" x14ac:dyDescent="0.25">
      <c r="A348" s="234" t="s">
        <v>1623</v>
      </c>
      <c r="C348" s="234" t="s">
        <v>1622</v>
      </c>
    </row>
    <row r="349" spans="1:3" x14ac:dyDescent="0.25">
      <c r="A349" s="234" t="s">
        <v>1619</v>
      </c>
      <c r="C349" s="234" t="s">
        <v>1618</v>
      </c>
    </row>
    <row r="350" spans="1:3" x14ac:dyDescent="0.25">
      <c r="A350" s="234" t="s">
        <v>1581</v>
      </c>
      <c r="C350" s="234" t="s">
        <v>1580</v>
      </c>
    </row>
    <row r="351" spans="1:3" x14ac:dyDescent="0.25">
      <c r="A351" s="234" t="s">
        <v>1605</v>
      </c>
      <c r="C351" s="234" t="s">
        <v>1604</v>
      </c>
    </row>
    <row r="352" spans="1:3" x14ac:dyDescent="0.25">
      <c r="A352" s="234" t="s">
        <v>1601</v>
      </c>
      <c r="C352" s="234" t="s">
        <v>1600</v>
      </c>
    </row>
    <row r="353" spans="1:3" x14ac:dyDescent="0.25">
      <c r="A353" s="234" t="s">
        <v>1619</v>
      </c>
      <c r="C353" s="234" t="s">
        <v>1618</v>
      </c>
    </row>
    <row r="354" spans="1:3" x14ac:dyDescent="0.25">
      <c r="A354" s="234" t="s">
        <v>1601</v>
      </c>
      <c r="C354" s="234" t="s">
        <v>1600</v>
      </c>
    </row>
    <row r="355" spans="1:3" x14ac:dyDescent="0.25">
      <c r="A355" s="234" t="s">
        <v>1593</v>
      </c>
      <c r="C355" s="234" t="s">
        <v>1592</v>
      </c>
    </row>
    <row r="356" spans="1:3" x14ac:dyDescent="0.25">
      <c r="A356" s="234" t="s">
        <v>1609</v>
      </c>
      <c r="C356" s="234" t="s">
        <v>1608</v>
      </c>
    </row>
    <row r="357" spans="1:3" x14ac:dyDescent="0.25">
      <c r="A357" s="234" t="s">
        <v>1589</v>
      </c>
      <c r="C357" s="234" t="s">
        <v>1588</v>
      </c>
    </row>
    <row r="358" spans="1:3" x14ac:dyDescent="0.25">
      <c r="A358" s="234" t="s">
        <v>1607</v>
      </c>
      <c r="C358" s="234" t="s">
        <v>1606</v>
      </c>
    </row>
    <row r="359" spans="1:3" x14ac:dyDescent="0.25">
      <c r="A359" s="234" t="s">
        <v>1583</v>
      </c>
      <c r="C359" s="234" t="s">
        <v>1582</v>
      </c>
    </row>
    <row r="360" spans="1:3" x14ac:dyDescent="0.25">
      <c r="A360" s="234" t="s">
        <v>1623</v>
      </c>
      <c r="C360" s="234" t="s">
        <v>1622</v>
      </c>
    </row>
    <row r="361" spans="1:3" x14ac:dyDescent="0.25">
      <c r="A361" s="234" t="s">
        <v>1587</v>
      </c>
      <c r="C361" s="234" t="s">
        <v>1586</v>
      </c>
    </row>
    <row r="362" spans="1:3" x14ac:dyDescent="0.25">
      <c r="A362" s="234" t="s">
        <v>1611</v>
      </c>
      <c r="C362" s="234" t="s">
        <v>1610</v>
      </c>
    </row>
    <row r="363" spans="1:3" x14ac:dyDescent="0.25">
      <c r="A363" s="234" t="s">
        <v>1579</v>
      </c>
      <c r="C363" s="234" t="s">
        <v>1578</v>
      </c>
    </row>
    <row r="364" spans="1:3" x14ac:dyDescent="0.25">
      <c r="A364" s="234" t="s">
        <v>1615</v>
      </c>
      <c r="C364" s="234" t="s">
        <v>1614</v>
      </c>
    </row>
    <row r="365" spans="1:3" x14ac:dyDescent="0.25">
      <c r="A365" s="234" t="s">
        <v>1597</v>
      </c>
      <c r="C365" s="234" t="s">
        <v>1596</v>
      </c>
    </row>
    <row r="366" spans="1:3" x14ac:dyDescent="0.25">
      <c r="A366" s="234" t="s">
        <v>1577</v>
      </c>
      <c r="C366" s="234" t="s">
        <v>1576</v>
      </c>
    </row>
    <row r="367" spans="1:3" x14ac:dyDescent="0.25">
      <c r="A367" s="234" t="s">
        <v>1607</v>
      </c>
      <c r="C367" s="234" t="s">
        <v>1606</v>
      </c>
    </row>
    <row r="368" spans="1:3" x14ac:dyDescent="0.25">
      <c r="A368" s="234" t="s">
        <v>1619</v>
      </c>
      <c r="C368" s="234" t="s">
        <v>1618</v>
      </c>
    </row>
    <row r="369" spans="1:3" x14ac:dyDescent="0.25">
      <c r="A369" s="234" t="s">
        <v>1589</v>
      </c>
      <c r="C369" s="234" t="s">
        <v>1588</v>
      </c>
    </row>
    <row r="370" spans="1:3" x14ac:dyDescent="0.25">
      <c r="A370" s="234" t="s">
        <v>1597</v>
      </c>
      <c r="C370" s="234" t="s">
        <v>1596</v>
      </c>
    </row>
    <row r="371" spans="1:3" x14ac:dyDescent="0.25">
      <c r="A371" s="234" t="s">
        <v>1595</v>
      </c>
      <c r="C371" s="234" t="s">
        <v>1594</v>
      </c>
    </row>
    <row r="372" spans="1:3" x14ac:dyDescent="0.25">
      <c r="A372" s="234" t="s">
        <v>1601</v>
      </c>
      <c r="C372" s="234" t="s">
        <v>1600</v>
      </c>
    </row>
    <row r="373" spans="1:3" x14ac:dyDescent="0.25">
      <c r="A373" s="234" t="s">
        <v>1581</v>
      </c>
      <c r="C373" s="234" t="s">
        <v>1580</v>
      </c>
    </row>
    <row r="374" spans="1:3" x14ac:dyDescent="0.25">
      <c r="A374" s="234" t="s">
        <v>1587</v>
      </c>
      <c r="C374" s="234" t="s">
        <v>1586</v>
      </c>
    </row>
    <row r="375" spans="1:3" x14ac:dyDescent="0.25">
      <c r="A375" s="234" t="s">
        <v>1577</v>
      </c>
      <c r="C375" s="234" t="s">
        <v>1576</v>
      </c>
    </row>
    <row r="376" spans="1:3" x14ac:dyDescent="0.25">
      <c r="A376" s="234" t="s">
        <v>1589</v>
      </c>
      <c r="C376" s="234" t="s">
        <v>1588</v>
      </c>
    </row>
    <row r="377" spans="1:3" x14ac:dyDescent="0.25">
      <c r="A377" s="234" t="s">
        <v>1597</v>
      </c>
      <c r="C377" s="234" t="s">
        <v>1596</v>
      </c>
    </row>
    <row r="378" spans="1:3" x14ac:dyDescent="0.25">
      <c r="A378" s="234" t="s">
        <v>1605</v>
      </c>
      <c r="C378" s="234" t="s">
        <v>1604</v>
      </c>
    </row>
    <row r="379" spans="1:3" x14ac:dyDescent="0.25">
      <c r="A379" s="234" t="s">
        <v>1601</v>
      </c>
      <c r="C379" s="234" t="s">
        <v>1600</v>
      </c>
    </row>
    <row r="380" spans="1:3" x14ac:dyDescent="0.25">
      <c r="A380" s="234" t="s">
        <v>1579</v>
      </c>
      <c r="C380" s="234" t="s">
        <v>1578</v>
      </c>
    </row>
    <row r="381" spans="1:3" x14ac:dyDescent="0.25">
      <c r="A381" s="234" t="s">
        <v>1619</v>
      </c>
      <c r="C381" s="234" t="s">
        <v>1618</v>
      </c>
    </row>
    <row r="382" spans="1:3" x14ac:dyDescent="0.25">
      <c r="A382" s="234" t="s">
        <v>1597</v>
      </c>
      <c r="C382" s="234" t="s">
        <v>1596</v>
      </c>
    </row>
    <row r="383" spans="1:3" x14ac:dyDescent="0.25">
      <c r="A383" s="234" t="s">
        <v>1621</v>
      </c>
      <c r="C383" s="234" t="s">
        <v>1620</v>
      </c>
    </row>
    <row r="384" spans="1:3" x14ac:dyDescent="0.25">
      <c r="A384" s="234" t="s">
        <v>1599</v>
      </c>
      <c r="C384" s="234" t="s">
        <v>1598</v>
      </c>
    </row>
    <row r="385" spans="1:3" x14ac:dyDescent="0.25">
      <c r="A385" s="234" t="s">
        <v>1583</v>
      </c>
      <c r="C385" s="234" t="s">
        <v>1582</v>
      </c>
    </row>
    <row r="386" spans="1:3" x14ac:dyDescent="0.25">
      <c r="A386" s="234" t="s">
        <v>1603</v>
      </c>
      <c r="C386" s="234" t="s">
        <v>1602</v>
      </c>
    </row>
    <row r="387" spans="1:3" x14ac:dyDescent="0.25">
      <c r="A387" s="234" t="s">
        <v>1619</v>
      </c>
      <c r="C387" s="234" t="s">
        <v>1618</v>
      </c>
    </row>
    <row r="388" spans="1:3" x14ac:dyDescent="0.25">
      <c r="A388" s="234" t="s">
        <v>1605</v>
      </c>
      <c r="C388" s="234" t="s">
        <v>1604</v>
      </c>
    </row>
    <row r="389" spans="1:3" x14ac:dyDescent="0.25">
      <c r="A389" s="234" t="s">
        <v>1609</v>
      </c>
      <c r="C389" s="234" t="s">
        <v>1608</v>
      </c>
    </row>
    <row r="390" spans="1:3" x14ac:dyDescent="0.25">
      <c r="A390" s="234" t="s">
        <v>1593</v>
      </c>
      <c r="C390" s="234" t="s">
        <v>1592</v>
      </c>
    </row>
    <row r="391" spans="1:3" x14ac:dyDescent="0.25">
      <c r="A391" s="234" t="s">
        <v>1597</v>
      </c>
      <c r="C391" s="234" t="s">
        <v>1596</v>
      </c>
    </row>
    <row r="392" spans="1:3" x14ac:dyDescent="0.25">
      <c r="A392" s="234" t="s">
        <v>1605</v>
      </c>
      <c r="C392" s="234" t="s">
        <v>1604</v>
      </c>
    </row>
    <row r="393" spans="1:3" x14ac:dyDescent="0.25">
      <c r="A393" s="234" t="s">
        <v>1615</v>
      </c>
      <c r="C393" s="234" t="s">
        <v>1614</v>
      </c>
    </row>
    <row r="394" spans="1:3" x14ac:dyDescent="0.25">
      <c r="A394" s="234" t="s">
        <v>1619</v>
      </c>
      <c r="C394" s="234" t="s">
        <v>1618</v>
      </c>
    </row>
    <row r="395" spans="1:3" x14ac:dyDescent="0.25">
      <c r="A395" s="234" t="s">
        <v>1623</v>
      </c>
      <c r="C395" s="234" t="s">
        <v>1622</v>
      </c>
    </row>
    <row r="396" spans="1:3" x14ac:dyDescent="0.25">
      <c r="A396" s="234" t="s">
        <v>1591</v>
      </c>
      <c r="C396" s="234" t="s">
        <v>1590</v>
      </c>
    </row>
    <row r="397" spans="1:3" x14ac:dyDescent="0.25">
      <c r="A397" s="234" t="s">
        <v>1615</v>
      </c>
      <c r="C397" s="234" t="s">
        <v>1614</v>
      </c>
    </row>
    <row r="398" spans="1:3" x14ac:dyDescent="0.25">
      <c r="A398" s="234" t="s">
        <v>1607</v>
      </c>
      <c r="C398" s="234" t="s">
        <v>1606</v>
      </c>
    </row>
    <row r="399" spans="1:3" x14ac:dyDescent="0.25">
      <c r="A399" s="234" t="s">
        <v>1587</v>
      </c>
      <c r="C399" s="234" t="s">
        <v>1586</v>
      </c>
    </row>
    <row r="400" spans="1:3" x14ac:dyDescent="0.25">
      <c r="A400" s="234" t="s">
        <v>1607</v>
      </c>
      <c r="C400" s="234" t="s">
        <v>1606</v>
      </c>
    </row>
    <row r="401" spans="1:3" x14ac:dyDescent="0.25">
      <c r="A401" s="234" t="s">
        <v>1583</v>
      </c>
      <c r="C401" s="234" t="s">
        <v>1582</v>
      </c>
    </row>
    <row r="402" spans="1:3" x14ac:dyDescent="0.25">
      <c r="A402" s="234" t="s">
        <v>1621</v>
      </c>
      <c r="C402" s="234" t="s">
        <v>1620</v>
      </c>
    </row>
    <row r="403" spans="1:3" x14ac:dyDescent="0.25">
      <c r="A403" s="234" t="s">
        <v>1603</v>
      </c>
      <c r="C403" s="234" t="s">
        <v>1602</v>
      </c>
    </row>
    <row r="404" spans="1:3" x14ac:dyDescent="0.25">
      <c r="A404" s="234" t="s">
        <v>1619</v>
      </c>
      <c r="C404" s="234" t="s">
        <v>1618</v>
      </c>
    </row>
    <row r="405" spans="1:3" x14ac:dyDescent="0.25">
      <c r="A405" s="234" t="s">
        <v>1587</v>
      </c>
      <c r="C405" s="234" t="s">
        <v>1586</v>
      </c>
    </row>
    <row r="406" spans="1:3" x14ac:dyDescent="0.25">
      <c r="A406" s="234" t="s">
        <v>1583</v>
      </c>
      <c r="C406" s="234" t="s">
        <v>1582</v>
      </c>
    </row>
    <row r="407" spans="1:3" x14ac:dyDescent="0.25">
      <c r="A407" s="234" t="s">
        <v>1581</v>
      </c>
      <c r="C407" s="234" t="s">
        <v>1580</v>
      </c>
    </row>
    <row r="408" spans="1:3" x14ac:dyDescent="0.25">
      <c r="A408" s="234" t="s">
        <v>1615</v>
      </c>
      <c r="C408" s="234" t="s">
        <v>1614</v>
      </c>
    </row>
    <row r="409" spans="1:3" x14ac:dyDescent="0.25">
      <c r="A409" s="234" t="s">
        <v>1611</v>
      </c>
      <c r="C409" s="234" t="s">
        <v>1610</v>
      </c>
    </row>
    <row r="410" spans="1:3" x14ac:dyDescent="0.25">
      <c r="A410" s="234" t="s">
        <v>1611</v>
      </c>
      <c r="C410" s="234" t="s">
        <v>1610</v>
      </c>
    </row>
    <row r="411" spans="1:3" x14ac:dyDescent="0.25">
      <c r="A411" s="234" t="s">
        <v>1593</v>
      </c>
      <c r="C411" s="234" t="s">
        <v>1592</v>
      </c>
    </row>
    <row r="412" spans="1:3" x14ac:dyDescent="0.25">
      <c r="A412" s="234" t="s">
        <v>1611</v>
      </c>
      <c r="C412" s="234" t="s">
        <v>1610</v>
      </c>
    </row>
    <row r="413" spans="1:3" x14ac:dyDescent="0.25">
      <c r="A413" s="234" t="s">
        <v>1587</v>
      </c>
      <c r="C413" s="234" t="s">
        <v>1586</v>
      </c>
    </row>
    <row r="414" spans="1:3" x14ac:dyDescent="0.25">
      <c r="A414" s="234" t="s">
        <v>1607</v>
      </c>
      <c r="C414" s="234" t="s">
        <v>1606</v>
      </c>
    </row>
    <row r="415" spans="1:3" x14ac:dyDescent="0.25">
      <c r="A415" s="234" t="s">
        <v>1591</v>
      </c>
      <c r="C415" s="234" t="s">
        <v>1590</v>
      </c>
    </row>
    <row r="416" spans="1:3" x14ac:dyDescent="0.25">
      <c r="A416" s="234" t="s">
        <v>1601</v>
      </c>
      <c r="C416" s="234" t="s">
        <v>1600</v>
      </c>
    </row>
    <row r="417" spans="1:3" x14ac:dyDescent="0.25">
      <c r="A417" s="234" t="s">
        <v>1597</v>
      </c>
      <c r="C417" s="234" t="s">
        <v>1596</v>
      </c>
    </row>
    <row r="418" spans="1:3" x14ac:dyDescent="0.25">
      <c r="A418" s="234" t="s">
        <v>1599</v>
      </c>
      <c r="C418" s="234" t="s">
        <v>1598</v>
      </c>
    </row>
    <row r="419" spans="1:3" x14ac:dyDescent="0.25">
      <c r="A419" s="234" t="s">
        <v>1589</v>
      </c>
      <c r="C419" s="234" t="s">
        <v>1588</v>
      </c>
    </row>
    <row r="420" spans="1:3" x14ac:dyDescent="0.25">
      <c r="A420" s="234" t="s">
        <v>1615</v>
      </c>
      <c r="C420" s="234" t="s">
        <v>1614</v>
      </c>
    </row>
    <row r="421" spans="1:3" x14ac:dyDescent="0.25">
      <c r="A421" s="234" t="s">
        <v>1587</v>
      </c>
      <c r="C421" s="234" t="s">
        <v>1586</v>
      </c>
    </row>
    <row r="422" spans="1:3" x14ac:dyDescent="0.25">
      <c r="A422" s="234" t="s">
        <v>1619</v>
      </c>
      <c r="C422" s="234" t="s">
        <v>1618</v>
      </c>
    </row>
    <row r="423" spans="1:3" x14ac:dyDescent="0.25">
      <c r="A423" s="234" t="s">
        <v>1581</v>
      </c>
      <c r="C423" s="234" t="s">
        <v>1580</v>
      </c>
    </row>
    <row r="424" spans="1:3" x14ac:dyDescent="0.25">
      <c r="A424" s="234" t="s">
        <v>1601</v>
      </c>
      <c r="C424" s="234" t="s">
        <v>1600</v>
      </c>
    </row>
    <row r="425" spans="1:3" x14ac:dyDescent="0.25">
      <c r="A425" s="234" t="s">
        <v>1603</v>
      </c>
      <c r="C425" s="234" t="s">
        <v>1602</v>
      </c>
    </row>
    <row r="426" spans="1:3" x14ac:dyDescent="0.25">
      <c r="A426" s="234" t="s">
        <v>1605</v>
      </c>
      <c r="C426" s="234" t="s">
        <v>1604</v>
      </c>
    </row>
    <row r="427" spans="1:3" x14ac:dyDescent="0.25">
      <c r="A427" s="234" t="s">
        <v>1619</v>
      </c>
      <c r="C427" s="234" t="s">
        <v>1618</v>
      </c>
    </row>
    <row r="428" spans="1:3" x14ac:dyDescent="0.25">
      <c r="A428" s="234" t="s">
        <v>1589</v>
      </c>
      <c r="C428" s="234" t="s">
        <v>1588</v>
      </c>
    </row>
    <row r="429" spans="1:3" x14ac:dyDescent="0.25">
      <c r="A429" s="234" t="s">
        <v>1587</v>
      </c>
      <c r="C429" s="234" t="s">
        <v>1586</v>
      </c>
    </row>
    <row r="430" spans="1:3" x14ac:dyDescent="0.25">
      <c r="A430" s="234" t="s">
        <v>1621</v>
      </c>
      <c r="C430" s="234" t="s">
        <v>1620</v>
      </c>
    </row>
    <row r="431" spans="1:3" x14ac:dyDescent="0.25">
      <c r="A431" s="234" t="s">
        <v>1621</v>
      </c>
      <c r="C431" s="234" t="s">
        <v>1620</v>
      </c>
    </row>
    <row r="432" spans="1:3" x14ac:dyDescent="0.25">
      <c r="A432" s="234" t="s">
        <v>1607</v>
      </c>
      <c r="C432" s="234" t="s">
        <v>1606</v>
      </c>
    </row>
    <row r="433" spans="1:3" x14ac:dyDescent="0.25">
      <c r="A433" s="234" t="s">
        <v>1593</v>
      </c>
      <c r="C433" s="234" t="s">
        <v>1592</v>
      </c>
    </row>
    <row r="434" spans="1:3" x14ac:dyDescent="0.25">
      <c r="A434" s="234" t="s">
        <v>1605</v>
      </c>
      <c r="C434" s="234" t="s">
        <v>1604</v>
      </c>
    </row>
    <row r="435" spans="1:3" x14ac:dyDescent="0.25">
      <c r="A435" s="234" t="s">
        <v>1609</v>
      </c>
      <c r="C435" s="234" t="s">
        <v>1608</v>
      </c>
    </row>
    <row r="436" spans="1:3" x14ac:dyDescent="0.25">
      <c r="A436" s="234" t="s">
        <v>1615</v>
      </c>
      <c r="C436" s="234" t="s">
        <v>1614</v>
      </c>
    </row>
    <row r="437" spans="1:3" x14ac:dyDescent="0.25">
      <c r="A437" s="234" t="s">
        <v>1579</v>
      </c>
      <c r="C437" s="234" t="s">
        <v>1578</v>
      </c>
    </row>
    <row r="438" spans="1:3" x14ac:dyDescent="0.25">
      <c r="A438" s="234" t="s">
        <v>1605</v>
      </c>
      <c r="C438" s="234" t="s">
        <v>1604</v>
      </c>
    </row>
    <row r="439" spans="1:3" x14ac:dyDescent="0.25">
      <c r="A439" s="234" t="s">
        <v>1605</v>
      </c>
      <c r="C439" s="234" t="s">
        <v>1604</v>
      </c>
    </row>
    <row r="440" spans="1:3" x14ac:dyDescent="0.25">
      <c r="A440" s="234" t="s">
        <v>1601</v>
      </c>
      <c r="C440" s="234" t="s">
        <v>1600</v>
      </c>
    </row>
    <row r="441" spans="1:3" x14ac:dyDescent="0.25">
      <c r="A441" s="234" t="s">
        <v>1591</v>
      </c>
      <c r="C441" s="234" t="s">
        <v>1590</v>
      </c>
    </row>
    <row r="442" spans="1:3" x14ac:dyDescent="0.25">
      <c r="A442" s="234" t="s">
        <v>1593</v>
      </c>
      <c r="C442" s="234" t="s">
        <v>1592</v>
      </c>
    </row>
    <row r="443" spans="1:3" x14ac:dyDescent="0.25">
      <c r="A443" s="234" t="s">
        <v>1621</v>
      </c>
      <c r="C443" s="234" t="s">
        <v>1620</v>
      </c>
    </row>
    <row r="444" spans="1:3" x14ac:dyDescent="0.25">
      <c r="A444" s="234" t="s">
        <v>1585</v>
      </c>
      <c r="C444" s="234" t="s">
        <v>1584</v>
      </c>
    </row>
    <row r="445" spans="1:3" x14ac:dyDescent="0.25">
      <c r="A445" s="234" t="s">
        <v>1591</v>
      </c>
      <c r="C445" s="234" t="s">
        <v>1590</v>
      </c>
    </row>
    <row r="446" spans="1:3" x14ac:dyDescent="0.25">
      <c r="A446" s="234" t="s">
        <v>1617</v>
      </c>
      <c r="C446" s="234" t="s">
        <v>1616</v>
      </c>
    </row>
    <row r="447" spans="1:3" x14ac:dyDescent="0.25">
      <c r="A447" s="234" t="s">
        <v>1579</v>
      </c>
      <c r="C447" s="234" t="s">
        <v>1578</v>
      </c>
    </row>
    <row r="448" spans="1:3" x14ac:dyDescent="0.25">
      <c r="A448" s="234" t="s">
        <v>1579</v>
      </c>
      <c r="C448" s="234" t="s">
        <v>1578</v>
      </c>
    </row>
    <row r="449" spans="1:3" x14ac:dyDescent="0.25">
      <c r="A449" s="234" t="s">
        <v>1617</v>
      </c>
      <c r="C449" s="234" t="s">
        <v>1616</v>
      </c>
    </row>
    <row r="450" spans="1:3" x14ac:dyDescent="0.25">
      <c r="A450" s="234" t="s">
        <v>1621</v>
      </c>
      <c r="C450" s="234" t="s">
        <v>1620</v>
      </c>
    </row>
    <row r="451" spans="1:3" x14ac:dyDescent="0.25">
      <c r="A451" s="234" t="s">
        <v>1609</v>
      </c>
      <c r="C451" s="234" t="s">
        <v>1608</v>
      </c>
    </row>
    <row r="452" spans="1:3" x14ac:dyDescent="0.25">
      <c r="A452" s="234" t="s">
        <v>1609</v>
      </c>
      <c r="C452" s="234" t="s">
        <v>1608</v>
      </c>
    </row>
    <row r="453" spans="1:3" x14ac:dyDescent="0.25">
      <c r="A453" s="234" t="s">
        <v>1601</v>
      </c>
      <c r="C453" s="234" t="s">
        <v>1600</v>
      </c>
    </row>
    <row r="454" spans="1:3" x14ac:dyDescent="0.25">
      <c r="A454" s="234" t="s">
        <v>1581</v>
      </c>
      <c r="C454" s="234" t="s">
        <v>1580</v>
      </c>
    </row>
    <row r="455" spans="1:3" x14ac:dyDescent="0.25">
      <c r="A455" s="234" t="s">
        <v>1607</v>
      </c>
      <c r="C455" s="234" t="s">
        <v>1606</v>
      </c>
    </row>
    <row r="456" spans="1:3" x14ac:dyDescent="0.25">
      <c r="A456" s="234" t="s">
        <v>1591</v>
      </c>
      <c r="C456" s="234" t="s">
        <v>1590</v>
      </c>
    </row>
    <row r="457" spans="1:3" x14ac:dyDescent="0.25">
      <c r="A457" s="234" t="s">
        <v>1621</v>
      </c>
      <c r="C457" s="234" t="s">
        <v>1620</v>
      </c>
    </row>
    <row r="458" spans="1:3" x14ac:dyDescent="0.25">
      <c r="A458" s="234" t="s">
        <v>1619</v>
      </c>
      <c r="C458" s="234" t="s">
        <v>1618</v>
      </c>
    </row>
    <row r="459" spans="1:3" x14ac:dyDescent="0.25">
      <c r="A459" s="234" t="s">
        <v>1613</v>
      </c>
      <c r="C459" s="234" t="s">
        <v>1612</v>
      </c>
    </row>
    <row r="460" spans="1:3" x14ac:dyDescent="0.25">
      <c r="A460" s="234" t="s">
        <v>1579</v>
      </c>
      <c r="C460" s="234" t="s">
        <v>1578</v>
      </c>
    </row>
    <row r="461" spans="1:3" x14ac:dyDescent="0.25">
      <c r="A461" s="234" t="s">
        <v>1591</v>
      </c>
      <c r="C461" s="234" t="s">
        <v>1590</v>
      </c>
    </row>
    <row r="462" spans="1:3" x14ac:dyDescent="0.25">
      <c r="A462" s="234" t="s">
        <v>1623</v>
      </c>
      <c r="C462" s="234" t="s">
        <v>1622</v>
      </c>
    </row>
    <row r="463" spans="1:3" x14ac:dyDescent="0.25">
      <c r="A463" s="234" t="s">
        <v>1579</v>
      </c>
      <c r="C463" s="234" t="s">
        <v>1578</v>
      </c>
    </row>
    <row r="464" spans="1:3" x14ac:dyDescent="0.25">
      <c r="A464" s="234" t="s">
        <v>1599</v>
      </c>
      <c r="C464" s="234" t="s">
        <v>1598</v>
      </c>
    </row>
    <row r="465" spans="1:3" x14ac:dyDescent="0.25">
      <c r="A465" s="234" t="s">
        <v>1589</v>
      </c>
      <c r="C465" s="234" t="s">
        <v>1588</v>
      </c>
    </row>
    <row r="466" spans="1:3" x14ac:dyDescent="0.25">
      <c r="A466" s="234" t="s">
        <v>1597</v>
      </c>
      <c r="C466" s="234" t="s">
        <v>1596</v>
      </c>
    </row>
    <row r="467" spans="1:3" x14ac:dyDescent="0.25">
      <c r="A467" s="234" t="s">
        <v>1579</v>
      </c>
      <c r="C467" s="234" t="s">
        <v>1578</v>
      </c>
    </row>
    <row r="468" spans="1:3" x14ac:dyDescent="0.25">
      <c r="A468" s="234" t="s">
        <v>1603</v>
      </c>
      <c r="C468" s="234" t="s">
        <v>1602</v>
      </c>
    </row>
    <row r="469" spans="1:3" x14ac:dyDescent="0.25">
      <c r="A469" s="234" t="s">
        <v>1601</v>
      </c>
      <c r="C469" s="234" t="s">
        <v>1600</v>
      </c>
    </row>
    <row r="470" spans="1:3" x14ac:dyDescent="0.25">
      <c r="A470" s="234" t="s">
        <v>1613</v>
      </c>
      <c r="C470" s="234" t="s">
        <v>1612</v>
      </c>
    </row>
    <row r="471" spans="1:3" x14ac:dyDescent="0.25">
      <c r="A471" s="234" t="s">
        <v>1583</v>
      </c>
      <c r="C471" s="234" t="s">
        <v>1582</v>
      </c>
    </row>
    <row r="472" spans="1:3" x14ac:dyDescent="0.25">
      <c r="A472" s="234" t="s">
        <v>1593</v>
      </c>
      <c r="C472" s="234" t="s">
        <v>1592</v>
      </c>
    </row>
    <row r="473" spans="1:3" x14ac:dyDescent="0.25">
      <c r="A473" s="234" t="s">
        <v>1583</v>
      </c>
      <c r="C473" s="234" t="s">
        <v>1582</v>
      </c>
    </row>
    <row r="474" spans="1:3" x14ac:dyDescent="0.25">
      <c r="A474" s="234" t="s">
        <v>1609</v>
      </c>
      <c r="C474" s="234" t="s">
        <v>1608</v>
      </c>
    </row>
    <row r="475" spans="1:3" x14ac:dyDescent="0.25">
      <c r="A475" s="234" t="s">
        <v>1583</v>
      </c>
      <c r="C475" s="234" t="s">
        <v>1582</v>
      </c>
    </row>
    <row r="476" spans="1:3" x14ac:dyDescent="0.25">
      <c r="A476" s="234" t="s">
        <v>1605</v>
      </c>
      <c r="C476" s="234" t="s">
        <v>1604</v>
      </c>
    </row>
    <row r="477" spans="1:3" x14ac:dyDescent="0.25">
      <c r="A477" s="234" t="s">
        <v>1585</v>
      </c>
      <c r="C477" s="234" t="s">
        <v>1584</v>
      </c>
    </row>
    <row r="478" spans="1:3" x14ac:dyDescent="0.25">
      <c r="A478" s="234" t="s">
        <v>1601</v>
      </c>
      <c r="C478" s="234" t="s">
        <v>1600</v>
      </c>
    </row>
    <row r="479" spans="1:3" x14ac:dyDescent="0.25">
      <c r="A479" s="234" t="s">
        <v>1597</v>
      </c>
      <c r="C479" s="234" t="s">
        <v>1596</v>
      </c>
    </row>
    <row r="480" spans="1:3" x14ac:dyDescent="0.25">
      <c r="A480" s="234" t="s">
        <v>1583</v>
      </c>
      <c r="C480" s="234" t="s">
        <v>1582</v>
      </c>
    </row>
    <row r="481" spans="1:3" x14ac:dyDescent="0.25">
      <c r="A481" s="234" t="s">
        <v>1603</v>
      </c>
      <c r="C481" s="234" t="s">
        <v>1602</v>
      </c>
    </row>
    <row r="482" spans="1:3" x14ac:dyDescent="0.25">
      <c r="A482" s="234" t="s">
        <v>1615</v>
      </c>
      <c r="C482" s="234" t="s">
        <v>1614</v>
      </c>
    </row>
    <row r="483" spans="1:3" x14ac:dyDescent="0.25">
      <c r="A483" s="234" t="s">
        <v>1615</v>
      </c>
      <c r="C483" s="234" t="s">
        <v>1614</v>
      </c>
    </row>
    <row r="484" spans="1:3" x14ac:dyDescent="0.25">
      <c r="A484" s="234" t="s">
        <v>1601</v>
      </c>
      <c r="C484" s="234" t="s">
        <v>1600</v>
      </c>
    </row>
    <row r="485" spans="1:3" x14ac:dyDescent="0.25">
      <c r="A485" s="234" t="s">
        <v>1605</v>
      </c>
      <c r="C485" s="234" t="s">
        <v>1604</v>
      </c>
    </row>
    <row r="486" spans="1:3" x14ac:dyDescent="0.25">
      <c r="A486" s="234" t="s">
        <v>1609</v>
      </c>
      <c r="C486" s="234" t="s">
        <v>1608</v>
      </c>
    </row>
    <row r="487" spans="1:3" x14ac:dyDescent="0.25">
      <c r="A487" s="234" t="s">
        <v>1613</v>
      </c>
      <c r="C487" s="234" t="s">
        <v>1612</v>
      </c>
    </row>
    <row r="488" spans="1:3" x14ac:dyDescent="0.25">
      <c r="A488" s="234" t="s">
        <v>1617</v>
      </c>
      <c r="C488" s="234" t="s">
        <v>1616</v>
      </c>
    </row>
    <row r="489" spans="1:3" x14ac:dyDescent="0.25">
      <c r="A489" s="234" t="s">
        <v>1619</v>
      </c>
      <c r="C489" s="234" t="s">
        <v>1618</v>
      </c>
    </row>
    <row r="490" spans="1:3" x14ac:dyDescent="0.25">
      <c r="A490" s="234" t="s">
        <v>1599</v>
      </c>
      <c r="C490" s="234" t="s">
        <v>1598</v>
      </c>
    </row>
    <row r="491" spans="1:3" x14ac:dyDescent="0.25">
      <c r="A491" s="234" t="s">
        <v>1605</v>
      </c>
      <c r="C491" s="234" t="s">
        <v>1604</v>
      </c>
    </row>
    <row r="492" spans="1:3" x14ac:dyDescent="0.25">
      <c r="A492" s="234" t="s">
        <v>1599</v>
      </c>
      <c r="C492" s="234" t="s">
        <v>1598</v>
      </c>
    </row>
    <row r="493" spans="1:3" x14ac:dyDescent="0.25">
      <c r="A493" s="234" t="s">
        <v>1593</v>
      </c>
      <c r="C493" s="234" t="s">
        <v>1592</v>
      </c>
    </row>
    <row r="494" spans="1:3" x14ac:dyDescent="0.25">
      <c r="A494" s="234" t="s">
        <v>1587</v>
      </c>
      <c r="C494" s="234" t="s">
        <v>1586</v>
      </c>
    </row>
    <row r="495" spans="1:3" x14ac:dyDescent="0.25">
      <c r="A495" s="234" t="s">
        <v>1591</v>
      </c>
      <c r="C495" s="234" t="s">
        <v>1590</v>
      </c>
    </row>
    <row r="496" spans="1:3" x14ac:dyDescent="0.25">
      <c r="A496" s="234" t="s">
        <v>1623</v>
      </c>
      <c r="C496" s="234" t="s">
        <v>1622</v>
      </c>
    </row>
    <row r="497" spans="1:3" x14ac:dyDescent="0.25">
      <c r="A497" s="234" t="s">
        <v>1585</v>
      </c>
      <c r="C497" s="234" t="s">
        <v>1584</v>
      </c>
    </row>
    <row r="498" spans="1:3" x14ac:dyDescent="0.25">
      <c r="A498" s="234" t="s">
        <v>1583</v>
      </c>
      <c r="C498" s="234" t="s">
        <v>1582</v>
      </c>
    </row>
    <row r="499" spans="1:3" x14ac:dyDescent="0.25">
      <c r="A499" s="234" t="s">
        <v>1623</v>
      </c>
      <c r="C499" s="234" t="s">
        <v>1622</v>
      </c>
    </row>
    <row r="500" spans="1:3" x14ac:dyDescent="0.25">
      <c r="A500" s="234" t="s">
        <v>1615</v>
      </c>
      <c r="C500" s="234" t="s">
        <v>1614</v>
      </c>
    </row>
    <row r="501" spans="1:3" x14ac:dyDescent="0.25">
      <c r="A501" s="234" t="s">
        <v>1615</v>
      </c>
      <c r="C501" s="234" t="s">
        <v>1614</v>
      </c>
    </row>
    <row r="502" spans="1:3" x14ac:dyDescent="0.25">
      <c r="A502" s="234" t="s">
        <v>1617</v>
      </c>
      <c r="C502" s="234" t="s">
        <v>1616</v>
      </c>
    </row>
    <row r="503" spans="1:3" x14ac:dyDescent="0.25">
      <c r="A503" s="234" t="s">
        <v>1603</v>
      </c>
      <c r="C503" s="234" t="s">
        <v>1602</v>
      </c>
    </row>
    <row r="504" spans="1:3" x14ac:dyDescent="0.25">
      <c r="A504" s="234" t="s">
        <v>1587</v>
      </c>
      <c r="C504" s="234" t="s">
        <v>1586</v>
      </c>
    </row>
    <row r="505" spans="1:3" x14ac:dyDescent="0.25">
      <c r="A505" s="234" t="s">
        <v>1623</v>
      </c>
      <c r="C505" s="234" t="s">
        <v>1622</v>
      </c>
    </row>
    <row r="506" spans="1:3" x14ac:dyDescent="0.25">
      <c r="A506" s="234" t="s">
        <v>1619</v>
      </c>
      <c r="C506" s="234" t="s">
        <v>1618</v>
      </c>
    </row>
    <row r="507" spans="1:3" x14ac:dyDescent="0.25">
      <c r="A507" s="234" t="s">
        <v>1583</v>
      </c>
      <c r="C507" s="234" t="s">
        <v>1582</v>
      </c>
    </row>
    <row r="508" spans="1:3" x14ac:dyDescent="0.25">
      <c r="A508" s="234" t="s">
        <v>1613</v>
      </c>
      <c r="C508" s="234" t="s">
        <v>1612</v>
      </c>
    </row>
    <row r="509" spans="1:3" x14ac:dyDescent="0.25">
      <c r="A509" s="234" t="s">
        <v>1583</v>
      </c>
      <c r="C509" s="234" t="s">
        <v>1582</v>
      </c>
    </row>
    <row r="510" spans="1:3" x14ac:dyDescent="0.25">
      <c r="A510" s="234" t="s">
        <v>1593</v>
      </c>
      <c r="C510" s="234" t="s">
        <v>1592</v>
      </c>
    </row>
    <row r="511" spans="1:3" x14ac:dyDescent="0.25">
      <c r="A511" s="234" t="s">
        <v>1619</v>
      </c>
      <c r="C511" s="234" t="s">
        <v>1618</v>
      </c>
    </row>
    <row r="512" spans="1:3" x14ac:dyDescent="0.25">
      <c r="A512" s="234" t="s">
        <v>1615</v>
      </c>
      <c r="C512" s="234" t="s">
        <v>1614</v>
      </c>
    </row>
    <row r="513" spans="1:3" x14ac:dyDescent="0.25">
      <c r="A513" s="234" t="s">
        <v>1617</v>
      </c>
      <c r="C513" s="234" t="s">
        <v>1616</v>
      </c>
    </row>
    <row r="514" spans="1:3" x14ac:dyDescent="0.25">
      <c r="A514" s="234" t="s">
        <v>1611</v>
      </c>
      <c r="C514" s="234" t="s">
        <v>1610</v>
      </c>
    </row>
    <row r="515" spans="1:3" x14ac:dyDescent="0.25">
      <c r="A515" s="234" t="s">
        <v>1583</v>
      </c>
      <c r="C515" s="234" t="s">
        <v>1582</v>
      </c>
    </row>
    <row r="516" spans="1:3" x14ac:dyDescent="0.25">
      <c r="A516" s="234" t="s">
        <v>1615</v>
      </c>
      <c r="C516" s="234" t="s">
        <v>1614</v>
      </c>
    </row>
    <row r="517" spans="1:3" x14ac:dyDescent="0.25">
      <c r="A517" s="234" t="s">
        <v>1587</v>
      </c>
      <c r="C517" s="234" t="s">
        <v>1586</v>
      </c>
    </row>
    <row r="518" spans="1:3" x14ac:dyDescent="0.25">
      <c r="A518" s="234" t="s">
        <v>1609</v>
      </c>
      <c r="C518" s="234" t="s">
        <v>1608</v>
      </c>
    </row>
    <row r="519" spans="1:3" x14ac:dyDescent="0.25">
      <c r="A519" s="234" t="s">
        <v>1603</v>
      </c>
      <c r="C519" s="234" t="s">
        <v>1602</v>
      </c>
    </row>
    <row r="520" spans="1:3" x14ac:dyDescent="0.25">
      <c r="A520" s="234" t="s">
        <v>1607</v>
      </c>
      <c r="C520" s="234" t="s">
        <v>1606</v>
      </c>
    </row>
    <row r="521" spans="1:3" x14ac:dyDescent="0.25">
      <c r="A521" s="234" t="s">
        <v>1605</v>
      </c>
      <c r="C521" s="234" t="s">
        <v>1604</v>
      </c>
    </row>
    <row r="522" spans="1:3" x14ac:dyDescent="0.25">
      <c r="A522" s="234" t="s">
        <v>1603</v>
      </c>
      <c r="C522" s="234" t="s">
        <v>1602</v>
      </c>
    </row>
    <row r="523" spans="1:3" x14ac:dyDescent="0.25">
      <c r="A523" s="234" t="s">
        <v>1595</v>
      </c>
      <c r="C523" s="234" t="s">
        <v>1594</v>
      </c>
    </row>
    <row r="524" spans="1:3" x14ac:dyDescent="0.25">
      <c r="A524" s="234" t="s">
        <v>1615</v>
      </c>
      <c r="C524" s="234" t="s">
        <v>1614</v>
      </c>
    </row>
    <row r="525" spans="1:3" x14ac:dyDescent="0.25">
      <c r="A525" s="234" t="s">
        <v>1623</v>
      </c>
      <c r="C525" s="234" t="s">
        <v>1622</v>
      </c>
    </row>
    <row r="526" spans="1:3" x14ac:dyDescent="0.25">
      <c r="A526" s="234" t="s">
        <v>1617</v>
      </c>
      <c r="C526" s="234" t="s">
        <v>1616</v>
      </c>
    </row>
    <row r="527" spans="1:3" x14ac:dyDescent="0.25">
      <c r="A527" s="234" t="s">
        <v>1599</v>
      </c>
      <c r="C527" s="234" t="s">
        <v>1598</v>
      </c>
    </row>
    <row r="528" spans="1:3" x14ac:dyDescent="0.25">
      <c r="A528" s="234" t="s">
        <v>1619</v>
      </c>
      <c r="C528" s="234" t="s">
        <v>1618</v>
      </c>
    </row>
    <row r="529" spans="1:3" x14ac:dyDescent="0.25">
      <c r="A529" s="234" t="s">
        <v>1591</v>
      </c>
      <c r="C529" s="234" t="s">
        <v>1590</v>
      </c>
    </row>
    <row r="530" spans="1:3" x14ac:dyDescent="0.25">
      <c r="A530" s="234" t="s">
        <v>1589</v>
      </c>
      <c r="C530" s="234" t="s">
        <v>1588</v>
      </c>
    </row>
    <row r="531" spans="1:3" x14ac:dyDescent="0.25">
      <c r="A531" s="234" t="s">
        <v>1589</v>
      </c>
      <c r="C531" s="234" t="s">
        <v>1588</v>
      </c>
    </row>
    <row r="532" spans="1:3" x14ac:dyDescent="0.25">
      <c r="A532" s="234" t="s">
        <v>1577</v>
      </c>
      <c r="C532" s="234" t="s">
        <v>1576</v>
      </c>
    </row>
    <row r="533" spans="1:3" x14ac:dyDescent="0.25">
      <c r="A533" s="234" t="s">
        <v>1609</v>
      </c>
      <c r="C533" s="234" t="s">
        <v>1608</v>
      </c>
    </row>
    <row r="534" spans="1:3" x14ac:dyDescent="0.25">
      <c r="A534" s="234" t="s">
        <v>1609</v>
      </c>
      <c r="C534" s="234" t="s">
        <v>1608</v>
      </c>
    </row>
    <row r="535" spans="1:3" x14ac:dyDescent="0.25">
      <c r="A535" s="234" t="s">
        <v>1623</v>
      </c>
      <c r="C535" s="234" t="s">
        <v>1622</v>
      </c>
    </row>
    <row r="536" spans="1:3" x14ac:dyDescent="0.25">
      <c r="A536" s="234" t="s">
        <v>1587</v>
      </c>
      <c r="C536" s="234" t="s">
        <v>1586</v>
      </c>
    </row>
    <row r="537" spans="1:3" x14ac:dyDescent="0.25">
      <c r="A537" s="234" t="s">
        <v>1617</v>
      </c>
      <c r="C537" s="234" t="s">
        <v>1616</v>
      </c>
    </row>
    <row r="538" spans="1:3" x14ac:dyDescent="0.25">
      <c r="A538" s="234" t="s">
        <v>1605</v>
      </c>
      <c r="C538" s="234" t="s">
        <v>1604</v>
      </c>
    </row>
    <row r="539" spans="1:3" x14ac:dyDescent="0.25">
      <c r="A539" s="234" t="s">
        <v>1615</v>
      </c>
      <c r="C539" s="234" t="s">
        <v>1614</v>
      </c>
    </row>
    <row r="540" spans="1:3" x14ac:dyDescent="0.25">
      <c r="A540" s="234" t="s">
        <v>1605</v>
      </c>
      <c r="C540" s="234" t="s">
        <v>1604</v>
      </c>
    </row>
    <row r="541" spans="1:3" x14ac:dyDescent="0.25">
      <c r="A541" s="234" t="s">
        <v>1623</v>
      </c>
      <c r="C541" s="234" t="s">
        <v>1622</v>
      </c>
    </row>
    <row r="542" spans="1:3" x14ac:dyDescent="0.25">
      <c r="A542" s="234" t="s">
        <v>1593</v>
      </c>
      <c r="C542" s="234" t="s">
        <v>1592</v>
      </c>
    </row>
    <row r="543" spans="1:3" x14ac:dyDescent="0.25">
      <c r="A543" s="234" t="s">
        <v>1613</v>
      </c>
      <c r="C543" s="234" t="s">
        <v>1612</v>
      </c>
    </row>
    <row r="544" spans="1:3" x14ac:dyDescent="0.25">
      <c r="A544" s="234" t="s">
        <v>1613</v>
      </c>
      <c r="C544" s="234" t="s">
        <v>1612</v>
      </c>
    </row>
    <row r="545" spans="1:3" x14ac:dyDescent="0.25">
      <c r="A545" s="234" t="s">
        <v>1611</v>
      </c>
      <c r="C545" s="234" t="s">
        <v>1610</v>
      </c>
    </row>
    <row r="546" spans="1:3" x14ac:dyDescent="0.25">
      <c r="A546" s="234" t="s">
        <v>1593</v>
      </c>
      <c r="C546" s="234" t="s">
        <v>1592</v>
      </c>
    </row>
    <row r="547" spans="1:3" x14ac:dyDescent="0.25">
      <c r="A547" s="234" t="s">
        <v>1591</v>
      </c>
      <c r="C547" s="234" t="s">
        <v>1590</v>
      </c>
    </row>
    <row r="548" spans="1:3" x14ac:dyDescent="0.25">
      <c r="A548" s="234" t="s">
        <v>1619</v>
      </c>
      <c r="C548" s="234" t="s">
        <v>1618</v>
      </c>
    </row>
    <row r="549" spans="1:3" x14ac:dyDescent="0.25">
      <c r="A549" s="234" t="s">
        <v>1613</v>
      </c>
      <c r="C549" s="234" t="s">
        <v>1612</v>
      </c>
    </row>
    <row r="550" spans="1:3" x14ac:dyDescent="0.25">
      <c r="A550" s="234" t="s">
        <v>1581</v>
      </c>
      <c r="C550" s="234" t="s">
        <v>1580</v>
      </c>
    </row>
    <row r="551" spans="1:3" x14ac:dyDescent="0.25">
      <c r="A551" s="234" t="s">
        <v>1617</v>
      </c>
      <c r="C551" s="234" t="s">
        <v>1616</v>
      </c>
    </row>
    <row r="552" spans="1:3" x14ac:dyDescent="0.25">
      <c r="A552" s="234" t="s">
        <v>1609</v>
      </c>
      <c r="C552" s="234" t="s">
        <v>1608</v>
      </c>
    </row>
    <row r="553" spans="1:3" x14ac:dyDescent="0.25">
      <c r="A553" s="234" t="s">
        <v>1585</v>
      </c>
      <c r="C553" s="234" t="s">
        <v>1584</v>
      </c>
    </row>
    <row r="554" spans="1:3" x14ac:dyDescent="0.25">
      <c r="A554" s="234" t="s">
        <v>1591</v>
      </c>
      <c r="C554" s="234" t="s">
        <v>1590</v>
      </c>
    </row>
    <row r="555" spans="1:3" x14ac:dyDescent="0.25">
      <c r="A555" s="234" t="s">
        <v>1609</v>
      </c>
      <c r="C555" s="234" t="s">
        <v>1608</v>
      </c>
    </row>
    <row r="556" spans="1:3" x14ac:dyDescent="0.25">
      <c r="A556" s="234" t="s">
        <v>1617</v>
      </c>
      <c r="C556" s="234" t="s">
        <v>1616</v>
      </c>
    </row>
    <row r="557" spans="1:3" x14ac:dyDescent="0.25">
      <c r="A557" s="234" t="s">
        <v>1611</v>
      </c>
      <c r="C557" s="234" t="s">
        <v>1610</v>
      </c>
    </row>
    <row r="558" spans="1:3" x14ac:dyDescent="0.25">
      <c r="A558" s="234" t="s">
        <v>1585</v>
      </c>
      <c r="C558" s="234" t="s">
        <v>1584</v>
      </c>
    </row>
    <row r="559" spans="1:3" x14ac:dyDescent="0.25">
      <c r="A559" s="234" t="s">
        <v>1621</v>
      </c>
      <c r="C559" s="234" t="s">
        <v>1620</v>
      </c>
    </row>
    <row r="560" spans="1:3" x14ac:dyDescent="0.25">
      <c r="A560" s="234" t="s">
        <v>1617</v>
      </c>
      <c r="C560" s="234" t="s">
        <v>1616</v>
      </c>
    </row>
    <row r="561" spans="1:3" x14ac:dyDescent="0.25">
      <c r="A561" s="234" t="s">
        <v>1587</v>
      </c>
      <c r="C561" s="234" t="s">
        <v>1586</v>
      </c>
    </row>
    <row r="562" spans="1:3" x14ac:dyDescent="0.25">
      <c r="A562" s="234" t="s">
        <v>1617</v>
      </c>
      <c r="C562" s="234" t="s">
        <v>1616</v>
      </c>
    </row>
    <row r="563" spans="1:3" x14ac:dyDescent="0.25">
      <c r="A563" s="234" t="s">
        <v>1587</v>
      </c>
      <c r="C563" s="234" t="s">
        <v>1586</v>
      </c>
    </row>
    <row r="564" spans="1:3" x14ac:dyDescent="0.25">
      <c r="A564" s="234" t="s">
        <v>1609</v>
      </c>
      <c r="C564" s="234" t="s">
        <v>1608</v>
      </c>
    </row>
    <row r="565" spans="1:3" x14ac:dyDescent="0.25">
      <c r="A565" s="234" t="s">
        <v>1589</v>
      </c>
      <c r="C565" s="234" t="s">
        <v>1588</v>
      </c>
    </row>
    <row r="566" spans="1:3" x14ac:dyDescent="0.25">
      <c r="A566" s="234" t="s">
        <v>1587</v>
      </c>
      <c r="C566" s="234" t="s">
        <v>1586</v>
      </c>
    </row>
    <row r="567" spans="1:3" x14ac:dyDescent="0.25">
      <c r="A567" s="234" t="s">
        <v>1611</v>
      </c>
      <c r="C567" s="234" t="s">
        <v>1610</v>
      </c>
    </row>
    <row r="568" spans="1:3" x14ac:dyDescent="0.25">
      <c r="A568" s="234" t="s">
        <v>1615</v>
      </c>
      <c r="C568" s="234" t="s">
        <v>1614</v>
      </c>
    </row>
    <row r="569" spans="1:3" x14ac:dyDescent="0.25">
      <c r="A569" s="234" t="s">
        <v>1615</v>
      </c>
      <c r="C569" s="234" t="s">
        <v>1614</v>
      </c>
    </row>
    <row r="570" spans="1:3" x14ac:dyDescent="0.25">
      <c r="A570" s="234" t="s">
        <v>1611</v>
      </c>
      <c r="C570" s="234" t="s">
        <v>1610</v>
      </c>
    </row>
    <row r="571" spans="1:3" x14ac:dyDescent="0.25">
      <c r="A571" s="234" t="s">
        <v>1609</v>
      </c>
      <c r="C571" s="234" t="s">
        <v>1608</v>
      </c>
    </row>
    <row r="572" spans="1:3" x14ac:dyDescent="0.25">
      <c r="A572" s="234" t="s">
        <v>1607</v>
      </c>
      <c r="C572" s="234" t="s">
        <v>1606</v>
      </c>
    </row>
    <row r="573" spans="1:3" x14ac:dyDescent="0.25">
      <c r="A573" s="234" t="s">
        <v>1581</v>
      </c>
      <c r="C573" s="234" t="s">
        <v>1580</v>
      </c>
    </row>
    <row r="574" spans="1:3" x14ac:dyDescent="0.25">
      <c r="A574" s="234" t="s">
        <v>1615</v>
      </c>
      <c r="C574" s="234" t="s">
        <v>1614</v>
      </c>
    </row>
    <row r="575" spans="1:3" x14ac:dyDescent="0.25">
      <c r="A575" s="234" t="s">
        <v>1615</v>
      </c>
      <c r="C575" s="234" t="s">
        <v>1614</v>
      </c>
    </row>
    <row r="576" spans="1:3" x14ac:dyDescent="0.25">
      <c r="A576" s="234" t="s">
        <v>1607</v>
      </c>
      <c r="C576" s="234" t="s">
        <v>1606</v>
      </c>
    </row>
    <row r="577" spans="1:3" x14ac:dyDescent="0.25">
      <c r="A577" s="234" t="s">
        <v>1595</v>
      </c>
      <c r="C577" s="234" t="s">
        <v>1594</v>
      </c>
    </row>
    <row r="578" spans="1:3" x14ac:dyDescent="0.25">
      <c r="A578" s="234" t="s">
        <v>1591</v>
      </c>
      <c r="C578" s="234" t="s">
        <v>1590</v>
      </c>
    </row>
    <row r="579" spans="1:3" x14ac:dyDescent="0.25">
      <c r="A579" s="234" t="s">
        <v>1583</v>
      </c>
      <c r="C579" s="234" t="s">
        <v>1582</v>
      </c>
    </row>
    <row r="580" spans="1:3" x14ac:dyDescent="0.25">
      <c r="A580" s="234" t="s">
        <v>1583</v>
      </c>
      <c r="C580" s="234" t="s">
        <v>1582</v>
      </c>
    </row>
    <row r="581" spans="1:3" x14ac:dyDescent="0.25">
      <c r="A581" s="234" t="s">
        <v>1623</v>
      </c>
      <c r="C581" s="234" t="s">
        <v>1622</v>
      </c>
    </row>
    <row r="582" spans="1:3" x14ac:dyDescent="0.25">
      <c r="A582" s="234" t="s">
        <v>1587</v>
      </c>
      <c r="C582" s="234" t="s">
        <v>1586</v>
      </c>
    </row>
    <row r="583" spans="1:3" x14ac:dyDescent="0.25">
      <c r="A583" s="234" t="s">
        <v>1599</v>
      </c>
      <c r="C583" s="234" t="s">
        <v>1598</v>
      </c>
    </row>
    <row r="584" spans="1:3" x14ac:dyDescent="0.25">
      <c r="A584" s="234" t="s">
        <v>1607</v>
      </c>
      <c r="C584" s="234" t="s">
        <v>1606</v>
      </c>
    </row>
    <row r="585" spans="1:3" x14ac:dyDescent="0.25">
      <c r="A585" s="234" t="s">
        <v>1621</v>
      </c>
      <c r="C585" s="234" t="s">
        <v>1620</v>
      </c>
    </row>
    <row r="586" spans="1:3" x14ac:dyDescent="0.25">
      <c r="A586" s="234" t="s">
        <v>1609</v>
      </c>
      <c r="C586" s="234" t="s">
        <v>1608</v>
      </c>
    </row>
    <row r="587" spans="1:3" x14ac:dyDescent="0.25">
      <c r="A587" s="234" t="s">
        <v>1607</v>
      </c>
      <c r="C587" s="234" t="s">
        <v>1606</v>
      </c>
    </row>
    <row r="588" spans="1:3" x14ac:dyDescent="0.25">
      <c r="A588" s="234" t="s">
        <v>1577</v>
      </c>
      <c r="C588" s="234" t="s">
        <v>1576</v>
      </c>
    </row>
    <row r="589" spans="1:3" x14ac:dyDescent="0.25">
      <c r="A589" s="234" t="s">
        <v>1579</v>
      </c>
      <c r="C589" s="234" t="s">
        <v>1578</v>
      </c>
    </row>
    <row r="590" spans="1:3" x14ac:dyDescent="0.25">
      <c r="A590" s="234" t="s">
        <v>1605</v>
      </c>
      <c r="C590" s="234" t="s">
        <v>1604</v>
      </c>
    </row>
    <row r="591" spans="1:3" x14ac:dyDescent="0.25">
      <c r="A591" s="234" t="s">
        <v>1597</v>
      </c>
      <c r="C591" s="234" t="s">
        <v>1596</v>
      </c>
    </row>
    <row r="592" spans="1:3" x14ac:dyDescent="0.25">
      <c r="A592" s="234" t="s">
        <v>1581</v>
      </c>
      <c r="C592" s="234" t="s">
        <v>1580</v>
      </c>
    </row>
    <row r="593" spans="1:3" x14ac:dyDescent="0.25">
      <c r="A593" s="234" t="s">
        <v>1607</v>
      </c>
      <c r="C593" s="234" t="s">
        <v>1606</v>
      </c>
    </row>
    <row r="594" spans="1:3" x14ac:dyDescent="0.25">
      <c r="A594" s="234" t="s">
        <v>1617</v>
      </c>
      <c r="C594" s="234" t="s">
        <v>1616</v>
      </c>
    </row>
    <row r="595" spans="1:3" x14ac:dyDescent="0.25">
      <c r="A595" s="234" t="s">
        <v>1621</v>
      </c>
      <c r="C595" s="234" t="s">
        <v>1620</v>
      </c>
    </row>
    <row r="596" spans="1:3" x14ac:dyDescent="0.25">
      <c r="A596" s="234" t="s">
        <v>1615</v>
      </c>
      <c r="C596" s="234" t="s">
        <v>1614</v>
      </c>
    </row>
    <row r="597" spans="1:3" x14ac:dyDescent="0.25">
      <c r="A597" s="234" t="s">
        <v>1581</v>
      </c>
      <c r="C597" s="234" t="s">
        <v>1580</v>
      </c>
    </row>
    <row r="598" spans="1:3" x14ac:dyDescent="0.25">
      <c r="A598" s="234" t="s">
        <v>1621</v>
      </c>
      <c r="C598" s="234" t="s">
        <v>1620</v>
      </c>
    </row>
    <row r="599" spans="1:3" x14ac:dyDescent="0.25">
      <c r="A599" s="234" t="s">
        <v>1597</v>
      </c>
      <c r="C599" s="234" t="s">
        <v>1596</v>
      </c>
    </row>
    <row r="600" spans="1:3" x14ac:dyDescent="0.25">
      <c r="A600" s="234" t="s">
        <v>1589</v>
      </c>
      <c r="C600" s="234" t="s">
        <v>1588</v>
      </c>
    </row>
    <row r="601" spans="1:3" x14ac:dyDescent="0.25">
      <c r="A601" s="234" t="s">
        <v>1609</v>
      </c>
      <c r="C601" s="234" t="s">
        <v>1608</v>
      </c>
    </row>
    <row r="602" spans="1:3" x14ac:dyDescent="0.25">
      <c r="A602" s="234" t="s">
        <v>1605</v>
      </c>
      <c r="C602" s="234" t="s">
        <v>1604</v>
      </c>
    </row>
    <row r="603" spans="1:3" x14ac:dyDescent="0.25">
      <c r="A603" s="234" t="s">
        <v>1585</v>
      </c>
      <c r="C603" s="234" t="s">
        <v>1584</v>
      </c>
    </row>
    <row r="604" spans="1:3" x14ac:dyDescent="0.25">
      <c r="A604" s="234" t="s">
        <v>1607</v>
      </c>
      <c r="C604" s="234" t="s">
        <v>1606</v>
      </c>
    </row>
    <row r="605" spans="1:3" x14ac:dyDescent="0.25">
      <c r="A605" s="234" t="s">
        <v>1595</v>
      </c>
      <c r="C605" s="234" t="s">
        <v>1594</v>
      </c>
    </row>
    <row r="606" spans="1:3" x14ac:dyDescent="0.25">
      <c r="A606" s="234" t="s">
        <v>1607</v>
      </c>
      <c r="C606" s="234" t="s">
        <v>1606</v>
      </c>
    </row>
    <row r="607" spans="1:3" x14ac:dyDescent="0.25">
      <c r="A607" s="234" t="s">
        <v>1617</v>
      </c>
      <c r="C607" s="234" t="s">
        <v>1616</v>
      </c>
    </row>
    <row r="608" spans="1:3" x14ac:dyDescent="0.25">
      <c r="A608" s="234" t="s">
        <v>1623</v>
      </c>
      <c r="C608" s="234" t="s">
        <v>1622</v>
      </c>
    </row>
    <row r="609" spans="1:3" x14ac:dyDescent="0.25">
      <c r="A609" s="234" t="s">
        <v>1589</v>
      </c>
      <c r="C609" s="234" t="s">
        <v>1588</v>
      </c>
    </row>
    <row r="610" spans="1:3" x14ac:dyDescent="0.25">
      <c r="A610" s="234" t="s">
        <v>1591</v>
      </c>
      <c r="C610" s="234" t="s">
        <v>1590</v>
      </c>
    </row>
    <row r="611" spans="1:3" x14ac:dyDescent="0.25">
      <c r="A611" s="234" t="s">
        <v>1593</v>
      </c>
      <c r="C611" s="234" t="s">
        <v>1592</v>
      </c>
    </row>
    <row r="612" spans="1:3" x14ac:dyDescent="0.25">
      <c r="A612" s="234" t="s">
        <v>1599</v>
      </c>
      <c r="C612" s="234" t="s">
        <v>1598</v>
      </c>
    </row>
    <row r="613" spans="1:3" x14ac:dyDescent="0.25">
      <c r="A613" s="234" t="s">
        <v>1617</v>
      </c>
      <c r="C613" s="234" t="s">
        <v>1616</v>
      </c>
    </row>
    <row r="614" spans="1:3" x14ac:dyDescent="0.25">
      <c r="A614" s="234" t="s">
        <v>1589</v>
      </c>
      <c r="C614" s="234" t="s">
        <v>1588</v>
      </c>
    </row>
    <row r="615" spans="1:3" x14ac:dyDescent="0.25">
      <c r="A615" s="234" t="s">
        <v>1599</v>
      </c>
      <c r="C615" s="234" t="s">
        <v>1598</v>
      </c>
    </row>
    <row r="616" spans="1:3" x14ac:dyDescent="0.25">
      <c r="A616" s="234" t="s">
        <v>1599</v>
      </c>
      <c r="C616" s="234" t="s">
        <v>1598</v>
      </c>
    </row>
    <row r="617" spans="1:3" x14ac:dyDescent="0.25">
      <c r="A617" s="234" t="s">
        <v>1603</v>
      </c>
      <c r="C617" s="234" t="s">
        <v>1602</v>
      </c>
    </row>
    <row r="618" spans="1:3" x14ac:dyDescent="0.25">
      <c r="A618" s="234" t="s">
        <v>1579</v>
      </c>
      <c r="C618" s="234" t="s">
        <v>1578</v>
      </c>
    </row>
    <row r="619" spans="1:3" x14ac:dyDescent="0.25">
      <c r="A619" s="234" t="s">
        <v>1605</v>
      </c>
      <c r="C619" s="234" t="s">
        <v>1604</v>
      </c>
    </row>
    <row r="620" spans="1:3" x14ac:dyDescent="0.25">
      <c r="A620" s="234" t="s">
        <v>1585</v>
      </c>
      <c r="C620" s="234" t="s">
        <v>1584</v>
      </c>
    </row>
    <row r="621" spans="1:3" x14ac:dyDescent="0.25">
      <c r="A621" s="234" t="s">
        <v>1613</v>
      </c>
      <c r="C621" s="234" t="s">
        <v>1612</v>
      </c>
    </row>
    <row r="622" spans="1:3" x14ac:dyDescent="0.25">
      <c r="A622" s="234" t="s">
        <v>1579</v>
      </c>
      <c r="C622" s="234" t="s">
        <v>1578</v>
      </c>
    </row>
    <row r="623" spans="1:3" x14ac:dyDescent="0.25">
      <c r="A623" s="234" t="s">
        <v>1587</v>
      </c>
      <c r="C623" s="234" t="s">
        <v>1586</v>
      </c>
    </row>
    <row r="624" spans="1:3" x14ac:dyDescent="0.25">
      <c r="A624" s="234" t="s">
        <v>1593</v>
      </c>
      <c r="C624" s="234" t="s">
        <v>1592</v>
      </c>
    </row>
    <row r="625" spans="1:3" x14ac:dyDescent="0.25">
      <c r="A625" s="234" t="s">
        <v>1585</v>
      </c>
      <c r="C625" s="234" t="s">
        <v>1584</v>
      </c>
    </row>
    <row r="626" spans="1:3" x14ac:dyDescent="0.25">
      <c r="A626" s="234" t="s">
        <v>1609</v>
      </c>
      <c r="C626" s="234" t="s">
        <v>1608</v>
      </c>
    </row>
    <row r="627" spans="1:3" x14ac:dyDescent="0.25">
      <c r="A627" s="234" t="s">
        <v>1589</v>
      </c>
      <c r="C627" s="234" t="s">
        <v>1588</v>
      </c>
    </row>
    <row r="628" spans="1:3" x14ac:dyDescent="0.25">
      <c r="A628" s="234" t="s">
        <v>1585</v>
      </c>
      <c r="C628" s="234" t="s">
        <v>1584</v>
      </c>
    </row>
    <row r="629" spans="1:3" x14ac:dyDescent="0.25">
      <c r="A629" s="234" t="s">
        <v>1621</v>
      </c>
      <c r="C629" s="234" t="s">
        <v>1620</v>
      </c>
    </row>
    <row r="630" spans="1:3" x14ac:dyDescent="0.25">
      <c r="A630" s="234" t="s">
        <v>1615</v>
      </c>
      <c r="C630" s="234" t="s">
        <v>1614</v>
      </c>
    </row>
    <row r="631" spans="1:3" x14ac:dyDescent="0.25">
      <c r="A631" s="234" t="s">
        <v>1597</v>
      </c>
      <c r="C631" s="234" t="s">
        <v>1596</v>
      </c>
    </row>
    <row r="632" spans="1:3" x14ac:dyDescent="0.25">
      <c r="A632" s="234" t="s">
        <v>1593</v>
      </c>
      <c r="C632" s="234" t="s">
        <v>1592</v>
      </c>
    </row>
    <row r="633" spans="1:3" x14ac:dyDescent="0.25">
      <c r="A633" s="234" t="s">
        <v>1595</v>
      </c>
      <c r="C633" s="234" t="s">
        <v>1594</v>
      </c>
    </row>
    <row r="634" spans="1:3" x14ac:dyDescent="0.25">
      <c r="A634" s="234" t="s">
        <v>1595</v>
      </c>
      <c r="C634" s="234" t="s">
        <v>1594</v>
      </c>
    </row>
    <row r="635" spans="1:3" x14ac:dyDescent="0.25">
      <c r="A635" s="234" t="s">
        <v>1587</v>
      </c>
      <c r="C635" s="234" t="s">
        <v>1586</v>
      </c>
    </row>
    <row r="636" spans="1:3" x14ac:dyDescent="0.25">
      <c r="A636" s="234" t="s">
        <v>1613</v>
      </c>
      <c r="C636" s="234" t="s">
        <v>1612</v>
      </c>
    </row>
    <row r="637" spans="1:3" x14ac:dyDescent="0.25">
      <c r="A637" s="234" t="s">
        <v>1623</v>
      </c>
      <c r="C637" s="234" t="s">
        <v>1622</v>
      </c>
    </row>
    <row r="638" spans="1:3" x14ac:dyDescent="0.25">
      <c r="A638" s="234" t="s">
        <v>1619</v>
      </c>
      <c r="C638" s="234" t="s">
        <v>1618</v>
      </c>
    </row>
    <row r="639" spans="1:3" x14ac:dyDescent="0.25">
      <c r="A639" s="234" t="s">
        <v>1609</v>
      </c>
      <c r="C639" s="234" t="s">
        <v>1608</v>
      </c>
    </row>
    <row r="640" spans="1:3" x14ac:dyDescent="0.25">
      <c r="A640" s="234" t="s">
        <v>1609</v>
      </c>
      <c r="C640" s="234" t="s">
        <v>1608</v>
      </c>
    </row>
    <row r="641" spans="1:3" x14ac:dyDescent="0.25">
      <c r="A641" s="234" t="s">
        <v>1611</v>
      </c>
      <c r="C641" s="234" t="s">
        <v>1610</v>
      </c>
    </row>
    <row r="642" spans="1:3" x14ac:dyDescent="0.25">
      <c r="A642" s="234" t="s">
        <v>1579</v>
      </c>
      <c r="C642" s="234" t="s">
        <v>1578</v>
      </c>
    </row>
    <row r="643" spans="1:3" x14ac:dyDescent="0.25">
      <c r="A643" s="234" t="s">
        <v>1595</v>
      </c>
      <c r="C643" s="234" t="s">
        <v>1594</v>
      </c>
    </row>
    <row r="644" spans="1:3" x14ac:dyDescent="0.25">
      <c r="A644" s="234" t="s">
        <v>1597</v>
      </c>
      <c r="C644" s="234" t="s">
        <v>1596</v>
      </c>
    </row>
    <row r="645" spans="1:3" x14ac:dyDescent="0.25">
      <c r="A645" s="234" t="s">
        <v>1619</v>
      </c>
      <c r="C645" s="234" t="s">
        <v>1618</v>
      </c>
    </row>
    <row r="646" spans="1:3" x14ac:dyDescent="0.25">
      <c r="A646" s="234" t="s">
        <v>1591</v>
      </c>
      <c r="C646" s="234" t="s">
        <v>1590</v>
      </c>
    </row>
    <row r="647" spans="1:3" x14ac:dyDescent="0.25">
      <c r="A647" s="234" t="s">
        <v>1607</v>
      </c>
      <c r="C647" s="234" t="s">
        <v>1606</v>
      </c>
    </row>
    <row r="648" spans="1:3" x14ac:dyDescent="0.25">
      <c r="A648" s="234" t="s">
        <v>1595</v>
      </c>
      <c r="C648" s="234" t="s">
        <v>1594</v>
      </c>
    </row>
    <row r="649" spans="1:3" x14ac:dyDescent="0.25">
      <c r="A649" s="234" t="s">
        <v>1603</v>
      </c>
      <c r="C649" s="234" t="s">
        <v>1602</v>
      </c>
    </row>
    <row r="650" spans="1:3" x14ac:dyDescent="0.25">
      <c r="A650" s="234" t="s">
        <v>1591</v>
      </c>
      <c r="C650" s="234" t="s">
        <v>1590</v>
      </c>
    </row>
    <row r="651" spans="1:3" x14ac:dyDescent="0.25">
      <c r="A651" s="234" t="s">
        <v>1597</v>
      </c>
      <c r="C651" s="234" t="s">
        <v>1596</v>
      </c>
    </row>
    <row r="652" spans="1:3" x14ac:dyDescent="0.25">
      <c r="A652" s="234" t="s">
        <v>1589</v>
      </c>
      <c r="C652" s="234" t="s">
        <v>1588</v>
      </c>
    </row>
    <row r="653" spans="1:3" x14ac:dyDescent="0.25">
      <c r="A653" s="234" t="s">
        <v>1613</v>
      </c>
      <c r="C653" s="234" t="s">
        <v>1612</v>
      </c>
    </row>
    <row r="654" spans="1:3" x14ac:dyDescent="0.25">
      <c r="A654" s="234" t="s">
        <v>1623</v>
      </c>
      <c r="C654" s="234" t="s">
        <v>1622</v>
      </c>
    </row>
    <row r="655" spans="1:3" x14ac:dyDescent="0.25">
      <c r="A655" s="234" t="s">
        <v>1621</v>
      </c>
      <c r="C655" s="234" t="s">
        <v>1620</v>
      </c>
    </row>
    <row r="656" spans="1:3" x14ac:dyDescent="0.25">
      <c r="A656" s="234" t="s">
        <v>1597</v>
      </c>
      <c r="C656" s="234" t="s">
        <v>1596</v>
      </c>
    </row>
    <row r="657" spans="1:3" x14ac:dyDescent="0.25">
      <c r="A657" s="234" t="s">
        <v>1609</v>
      </c>
      <c r="C657" s="234" t="s">
        <v>1608</v>
      </c>
    </row>
    <row r="658" spans="1:3" x14ac:dyDescent="0.25">
      <c r="A658" s="234" t="s">
        <v>1615</v>
      </c>
      <c r="C658" s="234" t="s">
        <v>1614</v>
      </c>
    </row>
    <row r="659" spans="1:3" x14ac:dyDescent="0.25">
      <c r="A659" s="234" t="s">
        <v>1613</v>
      </c>
      <c r="C659" s="234" t="s">
        <v>1612</v>
      </c>
    </row>
    <row r="660" spans="1:3" x14ac:dyDescent="0.25">
      <c r="A660" s="234" t="s">
        <v>1577</v>
      </c>
      <c r="C660" s="234" t="s">
        <v>1576</v>
      </c>
    </row>
    <row r="661" spans="1:3" x14ac:dyDescent="0.25">
      <c r="A661" s="234" t="s">
        <v>1595</v>
      </c>
      <c r="C661" s="234" t="s">
        <v>1594</v>
      </c>
    </row>
    <row r="662" spans="1:3" x14ac:dyDescent="0.25">
      <c r="A662" s="234" t="s">
        <v>1577</v>
      </c>
      <c r="C662" s="234" t="s">
        <v>1576</v>
      </c>
    </row>
    <row r="663" spans="1:3" x14ac:dyDescent="0.25">
      <c r="A663" s="234" t="s">
        <v>1597</v>
      </c>
      <c r="C663" s="234" t="s">
        <v>1596</v>
      </c>
    </row>
    <row r="664" spans="1:3" x14ac:dyDescent="0.25">
      <c r="A664" s="234" t="s">
        <v>1581</v>
      </c>
      <c r="C664" s="234" t="s">
        <v>1580</v>
      </c>
    </row>
    <row r="665" spans="1:3" x14ac:dyDescent="0.25">
      <c r="A665" s="234" t="s">
        <v>1593</v>
      </c>
      <c r="C665" s="234" t="s">
        <v>1592</v>
      </c>
    </row>
    <row r="666" spans="1:3" x14ac:dyDescent="0.25">
      <c r="A666" s="234" t="s">
        <v>1597</v>
      </c>
      <c r="C666" s="234" t="s">
        <v>1596</v>
      </c>
    </row>
    <row r="667" spans="1:3" x14ac:dyDescent="0.25">
      <c r="A667" s="234" t="s">
        <v>1603</v>
      </c>
      <c r="C667" s="234" t="s">
        <v>1602</v>
      </c>
    </row>
    <row r="668" spans="1:3" x14ac:dyDescent="0.25">
      <c r="A668" s="234" t="s">
        <v>1595</v>
      </c>
      <c r="C668" s="234" t="s">
        <v>1594</v>
      </c>
    </row>
    <row r="669" spans="1:3" x14ac:dyDescent="0.25">
      <c r="A669" s="234" t="s">
        <v>1595</v>
      </c>
      <c r="C669" s="234" t="s">
        <v>1594</v>
      </c>
    </row>
    <row r="670" spans="1:3" x14ac:dyDescent="0.25">
      <c r="A670" s="234" t="s">
        <v>1577</v>
      </c>
      <c r="C670" s="234" t="s">
        <v>1576</v>
      </c>
    </row>
    <row r="671" spans="1:3" x14ac:dyDescent="0.25">
      <c r="A671" s="234" t="s">
        <v>1607</v>
      </c>
      <c r="C671" s="234" t="s">
        <v>1606</v>
      </c>
    </row>
    <row r="672" spans="1:3" x14ac:dyDescent="0.25">
      <c r="A672" s="234" t="s">
        <v>1591</v>
      </c>
      <c r="C672" s="234" t="s">
        <v>1590</v>
      </c>
    </row>
    <row r="673" spans="1:3" x14ac:dyDescent="0.25">
      <c r="A673" s="234" t="s">
        <v>1587</v>
      </c>
      <c r="C673" s="234" t="s">
        <v>1586</v>
      </c>
    </row>
    <row r="674" spans="1:3" x14ac:dyDescent="0.25">
      <c r="A674" s="234" t="s">
        <v>1617</v>
      </c>
      <c r="C674" s="234" t="s">
        <v>1616</v>
      </c>
    </row>
    <row r="675" spans="1:3" x14ac:dyDescent="0.25">
      <c r="A675" s="234" t="s">
        <v>1585</v>
      </c>
      <c r="C675" s="234" t="s">
        <v>1584</v>
      </c>
    </row>
    <row r="676" spans="1:3" x14ac:dyDescent="0.25">
      <c r="A676" s="234" t="s">
        <v>1619</v>
      </c>
      <c r="C676" s="234" t="s">
        <v>1618</v>
      </c>
    </row>
    <row r="677" spans="1:3" x14ac:dyDescent="0.25">
      <c r="A677" s="234" t="s">
        <v>1615</v>
      </c>
      <c r="C677" s="234" t="s">
        <v>1614</v>
      </c>
    </row>
    <row r="678" spans="1:3" x14ac:dyDescent="0.25">
      <c r="A678" s="234" t="s">
        <v>1589</v>
      </c>
      <c r="C678" s="234" t="s">
        <v>1588</v>
      </c>
    </row>
    <row r="679" spans="1:3" x14ac:dyDescent="0.25">
      <c r="A679" s="234" t="s">
        <v>1601</v>
      </c>
      <c r="C679" s="234" t="s">
        <v>1600</v>
      </c>
    </row>
    <row r="680" spans="1:3" x14ac:dyDescent="0.25">
      <c r="A680" s="234" t="s">
        <v>1593</v>
      </c>
      <c r="C680" s="234" t="s">
        <v>1592</v>
      </c>
    </row>
    <row r="681" spans="1:3" x14ac:dyDescent="0.25">
      <c r="A681" s="234" t="s">
        <v>1597</v>
      </c>
      <c r="C681" s="234" t="s">
        <v>1596</v>
      </c>
    </row>
    <row r="682" spans="1:3" x14ac:dyDescent="0.25">
      <c r="A682" s="234" t="s">
        <v>1593</v>
      </c>
      <c r="C682" s="234" t="s">
        <v>1592</v>
      </c>
    </row>
    <row r="683" spans="1:3" x14ac:dyDescent="0.25">
      <c r="A683" s="234" t="s">
        <v>1609</v>
      </c>
      <c r="C683" s="234" t="s">
        <v>1608</v>
      </c>
    </row>
    <row r="684" spans="1:3" x14ac:dyDescent="0.25">
      <c r="A684" s="234" t="s">
        <v>1583</v>
      </c>
      <c r="C684" s="234" t="s">
        <v>1582</v>
      </c>
    </row>
    <row r="685" spans="1:3" x14ac:dyDescent="0.25">
      <c r="A685" s="234" t="s">
        <v>1599</v>
      </c>
      <c r="C685" s="234" t="s">
        <v>1598</v>
      </c>
    </row>
    <row r="686" spans="1:3" x14ac:dyDescent="0.25">
      <c r="A686" s="234" t="s">
        <v>1597</v>
      </c>
      <c r="C686" s="234" t="s">
        <v>1596</v>
      </c>
    </row>
    <row r="687" spans="1:3" x14ac:dyDescent="0.25">
      <c r="A687" s="234" t="s">
        <v>1599</v>
      </c>
      <c r="C687" s="234" t="s">
        <v>1598</v>
      </c>
    </row>
    <row r="688" spans="1:3" x14ac:dyDescent="0.25">
      <c r="A688" s="234" t="s">
        <v>1611</v>
      </c>
      <c r="C688" s="234" t="s">
        <v>1610</v>
      </c>
    </row>
    <row r="689" spans="1:3" x14ac:dyDescent="0.25">
      <c r="A689" s="234" t="s">
        <v>1591</v>
      </c>
      <c r="C689" s="234" t="s">
        <v>1590</v>
      </c>
    </row>
    <row r="690" spans="1:3" x14ac:dyDescent="0.25">
      <c r="A690" s="234" t="s">
        <v>1613</v>
      </c>
      <c r="C690" s="234" t="s">
        <v>1612</v>
      </c>
    </row>
    <row r="691" spans="1:3" x14ac:dyDescent="0.25">
      <c r="A691" s="234" t="s">
        <v>1591</v>
      </c>
      <c r="C691" s="234" t="s">
        <v>1590</v>
      </c>
    </row>
    <row r="692" spans="1:3" x14ac:dyDescent="0.25">
      <c r="A692" s="234" t="s">
        <v>1617</v>
      </c>
      <c r="C692" s="234" t="s">
        <v>1616</v>
      </c>
    </row>
    <row r="693" spans="1:3" x14ac:dyDescent="0.25">
      <c r="A693" s="234" t="s">
        <v>1593</v>
      </c>
      <c r="C693" s="234" t="s">
        <v>1592</v>
      </c>
    </row>
    <row r="694" spans="1:3" x14ac:dyDescent="0.25">
      <c r="A694" s="234" t="s">
        <v>1587</v>
      </c>
      <c r="C694" s="234" t="s">
        <v>1586</v>
      </c>
    </row>
    <row r="695" spans="1:3" x14ac:dyDescent="0.25">
      <c r="A695" s="234" t="s">
        <v>1613</v>
      </c>
      <c r="C695" s="234" t="s">
        <v>1612</v>
      </c>
    </row>
    <row r="696" spans="1:3" x14ac:dyDescent="0.25">
      <c r="A696" s="234" t="s">
        <v>1623</v>
      </c>
      <c r="C696" s="234" t="s">
        <v>1622</v>
      </c>
    </row>
    <row r="697" spans="1:3" x14ac:dyDescent="0.25">
      <c r="A697" s="234" t="s">
        <v>1621</v>
      </c>
      <c r="C697" s="234" t="s">
        <v>1620</v>
      </c>
    </row>
    <row r="698" spans="1:3" x14ac:dyDescent="0.25">
      <c r="A698" s="234" t="s">
        <v>1615</v>
      </c>
      <c r="C698" s="234" t="s">
        <v>1614</v>
      </c>
    </row>
    <row r="699" spans="1:3" x14ac:dyDescent="0.25">
      <c r="A699" s="234" t="s">
        <v>1613</v>
      </c>
      <c r="C699" s="234" t="s">
        <v>1612</v>
      </c>
    </row>
    <row r="700" spans="1:3" x14ac:dyDescent="0.25">
      <c r="A700" s="234" t="s">
        <v>1615</v>
      </c>
      <c r="C700" s="234" t="s">
        <v>1614</v>
      </c>
    </row>
    <row r="701" spans="1:3" x14ac:dyDescent="0.25">
      <c r="A701" s="234" t="s">
        <v>1589</v>
      </c>
      <c r="C701" s="234" t="s">
        <v>1588</v>
      </c>
    </row>
    <row r="702" spans="1:3" x14ac:dyDescent="0.25">
      <c r="A702" s="234" t="s">
        <v>1609</v>
      </c>
      <c r="C702" s="234" t="s">
        <v>1608</v>
      </c>
    </row>
    <row r="703" spans="1:3" x14ac:dyDescent="0.25">
      <c r="A703" s="234" t="s">
        <v>1613</v>
      </c>
      <c r="C703" s="234" t="s">
        <v>1612</v>
      </c>
    </row>
    <row r="704" spans="1:3" x14ac:dyDescent="0.25">
      <c r="A704" s="234" t="s">
        <v>1623</v>
      </c>
      <c r="C704" s="234" t="s">
        <v>1622</v>
      </c>
    </row>
    <row r="705" spans="1:3" x14ac:dyDescent="0.25">
      <c r="A705" s="234" t="s">
        <v>1585</v>
      </c>
      <c r="C705" s="234" t="s">
        <v>1584</v>
      </c>
    </row>
    <row r="706" spans="1:3" x14ac:dyDescent="0.25">
      <c r="A706" s="234" t="s">
        <v>1579</v>
      </c>
      <c r="C706" s="234" t="s">
        <v>1578</v>
      </c>
    </row>
    <row r="707" spans="1:3" x14ac:dyDescent="0.25">
      <c r="A707" s="234" t="s">
        <v>1587</v>
      </c>
      <c r="C707" s="234" t="s">
        <v>1586</v>
      </c>
    </row>
    <row r="708" spans="1:3" x14ac:dyDescent="0.25">
      <c r="A708" s="234" t="s">
        <v>1603</v>
      </c>
      <c r="C708" s="234" t="s">
        <v>1602</v>
      </c>
    </row>
    <row r="709" spans="1:3" x14ac:dyDescent="0.25">
      <c r="A709" s="234" t="s">
        <v>1605</v>
      </c>
      <c r="C709" s="234" t="s">
        <v>1604</v>
      </c>
    </row>
    <row r="710" spans="1:3" x14ac:dyDescent="0.25">
      <c r="A710" s="234" t="s">
        <v>1587</v>
      </c>
      <c r="C710" s="234" t="s">
        <v>1586</v>
      </c>
    </row>
    <row r="711" spans="1:3" x14ac:dyDescent="0.25">
      <c r="A711" s="234" t="s">
        <v>1617</v>
      </c>
      <c r="C711" s="234" t="s">
        <v>1616</v>
      </c>
    </row>
    <row r="712" spans="1:3" x14ac:dyDescent="0.25">
      <c r="A712" s="234" t="s">
        <v>1611</v>
      </c>
      <c r="C712" s="234" t="s">
        <v>1610</v>
      </c>
    </row>
    <row r="713" spans="1:3" x14ac:dyDescent="0.25">
      <c r="A713" s="234" t="s">
        <v>1577</v>
      </c>
      <c r="C713" s="234" t="s">
        <v>1576</v>
      </c>
    </row>
    <row r="714" spans="1:3" x14ac:dyDescent="0.25">
      <c r="A714" s="234" t="s">
        <v>1603</v>
      </c>
      <c r="C714" s="234" t="s">
        <v>1602</v>
      </c>
    </row>
    <row r="715" spans="1:3" x14ac:dyDescent="0.25">
      <c r="A715" s="234" t="s">
        <v>1619</v>
      </c>
      <c r="C715" s="234" t="s">
        <v>1618</v>
      </c>
    </row>
    <row r="716" spans="1:3" x14ac:dyDescent="0.25">
      <c r="A716" s="234" t="s">
        <v>1589</v>
      </c>
      <c r="C716" s="234" t="s">
        <v>1588</v>
      </c>
    </row>
    <row r="717" spans="1:3" x14ac:dyDescent="0.25">
      <c r="A717" s="234" t="s">
        <v>1609</v>
      </c>
      <c r="C717" s="234" t="s">
        <v>1608</v>
      </c>
    </row>
    <row r="718" spans="1:3" x14ac:dyDescent="0.25">
      <c r="A718" s="234" t="s">
        <v>1621</v>
      </c>
      <c r="C718" s="234" t="s">
        <v>1620</v>
      </c>
    </row>
    <row r="719" spans="1:3" x14ac:dyDescent="0.25">
      <c r="A719" s="234" t="s">
        <v>1613</v>
      </c>
      <c r="C719" s="234" t="s">
        <v>1612</v>
      </c>
    </row>
    <row r="720" spans="1:3" x14ac:dyDescent="0.25">
      <c r="A720" s="234" t="s">
        <v>1591</v>
      </c>
      <c r="C720" s="234" t="s">
        <v>1590</v>
      </c>
    </row>
    <row r="721" spans="1:3" x14ac:dyDescent="0.25">
      <c r="A721" s="234" t="s">
        <v>1603</v>
      </c>
      <c r="C721" s="234" t="s">
        <v>1602</v>
      </c>
    </row>
    <row r="722" spans="1:3" x14ac:dyDescent="0.25">
      <c r="A722" s="234" t="s">
        <v>1589</v>
      </c>
      <c r="C722" s="234" t="s">
        <v>1588</v>
      </c>
    </row>
    <row r="723" spans="1:3" x14ac:dyDescent="0.25">
      <c r="A723" s="234" t="s">
        <v>1615</v>
      </c>
      <c r="C723" s="234" t="s">
        <v>1614</v>
      </c>
    </row>
    <row r="724" spans="1:3" x14ac:dyDescent="0.25">
      <c r="A724" s="234" t="s">
        <v>1611</v>
      </c>
      <c r="C724" s="234" t="s">
        <v>1610</v>
      </c>
    </row>
    <row r="725" spans="1:3" x14ac:dyDescent="0.25">
      <c r="A725" s="234" t="s">
        <v>1621</v>
      </c>
      <c r="C725" s="234" t="s">
        <v>1620</v>
      </c>
    </row>
    <row r="726" spans="1:3" x14ac:dyDescent="0.25">
      <c r="A726" s="234" t="s">
        <v>1595</v>
      </c>
      <c r="C726" s="234" t="s">
        <v>1594</v>
      </c>
    </row>
    <row r="727" spans="1:3" x14ac:dyDescent="0.25">
      <c r="A727" s="234" t="s">
        <v>1589</v>
      </c>
      <c r="C727" s="234" t="s">
        <v>1588</v>
      </c>
    </row>
    <row r="728" spans="1:3" x14ac:dyDescent="0.25">
      <c r="A728" s="234" t="s">
        <v>1611</v>
      </c>
      <c r="C728" s="234" t="s">
        <v>1610</v>
      </c>
    </row>
    <row r="729" spans="1:3" x14ac:dyDescent="0.25">
      <c r="A729" s="234" t="s">
        <v>1603</v>
      </c>
      <c r="C729" s="234" t="s">
        <v>1602</v>
      </c>
    </row>
    <row r="730" spans="1:3" x14ac:dyDescent="0.25">
      <c r="A730" s="234" t="s">
        <v>1587</v>
      </c>
      <c r="C730" s="234" t="s">
        <v>1586</v>
      </c>
    </row>
    <row r="731" spans="1:3" x14ac:dyDescent="0.25">
      <c r="A731" s="234" t="s">
        <v>1597</v>
      </c>
      <c r="C731" s="234" t="s">
        <v>1596</v>
      </c>
    </row>
    <row r="732" spans="1:3" x14ac:dyDescent="0.25">
      <c r="A732" s="234" t="s">
        <v>1587</v>
      </c>
      <c r="C732" s="234" t="s">
        <v>1586</v>
      </c>
    </row>
    <row r="733" spans="1:3" x14ac:dyDescent="0.25">
      <c r="A733" s="234" t="s">
        <v>1623</v>
      </c>
      <c r="C733" s="234" t="s">
        <v>1622</v>
      </c>
    </row>
    <row r="734" spans="1:3" x14ac:dyDescent="0.25">
      <c r="A734" s="234" t="s">
        <v>1597</v>
      </c>
      <c r="C734" s="234" t="s">
        <v>1596</v>
      </c>
    </row>
    <row r="735" spans="1:3" x14ac:dyDescent="0.25">
      <c r="A735" s="234" t="s">
        <v>1603</v>
      </c>
      <c r="C735" s="234" t="s">
        <v>1602</v>
      </c>
    </row>
    <row r="736" spans="1:3" x14ac:dyDescent="0.25">
      <c r="A736" s="234" t="s">
        <v>1589</v>
      </c>
      <c r="C736" s="234" t="s">
        <v>1588</v>
      </c>
    </row>
    <row r="737" spans="1:3" x14ac:dyDescent="0.25">
      <c r="A737" s="234" t="s">
        <v>1617</v>
      </c>
      <c r="C737" s="234" t="s">
        <v>1616</v>
      </c>
    </row>
    <row r="738" spans="1:3" x14ac:dyDescent="0.25">
      <c r="A738" s="234" t="s">
        <v>1619</v>
      </c>
      <c r="C738" s="234" t="s">
        <v>1618</v>
      </c>
    </row>
    <row r="739" spans="1:3" x14ac:dyDescent="0.25">
      <c r="A739" s="234" t="s">
        <v>1595</v>
      </c>
      <c r="C739" s="234" t="s">
        <v>1594</v>
      </c>
    </row>
    <row r="740" spans="1:3" x14ac:dyDescent="0.25">
      <c r="A740" s="234" t="s">
        <v>1605</v>
      </c>
      <c r="C740" s="234" t="s">
        <v>1604</v>
      </c>
    </row>
    <row r="741" spans="1:3" x14ac:dyDescent="0.25">
      <c r="A741" s="234" t="s">
        <v>1609</v>
      </c>
      <c r="C741" s="234" t="s">
        <v>1608</v>
      </c>
    </row>
    <row r="742" spans="1:3" x14ac:dyDescent="0.25">
      <c r="A742" s="234" t="s">
        <v>1599</v>
      </c>
      <c r="C742" s="234" t="s">
        <v>1598</v>
      </c>
    </row>
    <row r="743" spans="1:3" x14ac:dyDescent="0.25">
      <c r="A743" s="234" t="s">
        <v>1615</v>
      </c>
      <c r="C743" s="234" t="s">
        <v>1614</v>
      </c>
    </row>
    <row r="744" spans="1:3" x14ac:dyDescent="0.25">
      <c r="A744" s="234" t="s">
        <v>1581</v>
      </c>
      <c r="C744" s="234" t="s">
        <v>1580</v>
      </c>
    </row>
    <row r="745" spans="1:3" x14ac:dyDescent="0.25">
      <c r="A745" s="234" t="s">
        <v>1613</v>
      </c>
      <c r="C745" s="234" t="s">
        <v>1612</v>
      </c>
    </row>
    <row r="746" spans="1:3" x14ac:dyDescent="0.25">
      <c r="A746" s="234" t="s">
        <v>1605</v>
      </c>
      <c r="C746" s="234" t="s">
        <v>1604</v>
      </c>
    </row>
    <row r="747" spans="1:3" x14ac:dyDescent="0.25">
      <c r="A747" s="234" t="s">
        <v>1617</v>
      </c>
      <c r="C747" s="234" t="s">
        <v>1616</v>
      </c>
    </row>
    <row r="748" spans="1:3" x14ac:dyDescent="0.25">
      <c r="A748" s="234" t="s">
        <v>1619</v>
      </c>
      <c r="C748" s="234" t="s">
        <v>1618</v>
      </c>
    </row>
    <row r="749" spans="1:3" x14ac:dyDescent="0.25">
      <c r="A749" s="234" t="s">
        <v>1601</v>
      </c>
      <c r="C749" s="234" t="s">
        <v>1600</v>
      </c>
    </row>
    <row r="750" spans="1:3" x14ac:dyDescent="0.25">
      <c r="A750" s="234" t="s">
        <v>1587</v>
      </c>
      <c r="C750" s="234" t="s">
        <v>1586</v>
      </c>
    </row>
    <row r="751" spans="1:3" x14ac:dyDescent="0.25">
      <c r="A751" s="234" t="s">
        <v>1603</v>
      </c>
      <c r="C751" s="234" t="s">
        <v>1602</v>
      </c>
    </row>
    <row r="752" spans="1:3" x14ac:dyDescent="0.25">
      <c r="A752" s="234" t="s">
        <v>1603</v>
      </c>
      <c r="C752" s="234" t="s">
        <v>1602</v>
      </c>
    </row>
    <row r="753" spans="1:3" x14ac:dyDescent="0.25">
      <c r="A753" s="234" t="s">
        <v>1583</v>
      </c>
      <c r="C753" s="234" t="s">
        <v>1582</v>
      </c>
    </row>
    <row r="754" spans="1:3" x14ac:dyDescent="0.25">
      <c r="A754" s="234" t="s">
        <v>1615</v>
      </c>
      <c r="C754" s="234" t="s">
        <v>1614</v>
      </c>
    </row>
    <row r="755" spans="1:3" x14ac:dyDescent="0.25">
      <c r="A755" s="234" t="s">
        <v>1589</v>
      </c>
      <c r="C755" s="234" t="s">
        <v>1588</v>
      </c>
    </row>
    <row r="756" spans="1:3" x14ac:dyDescent="0.25">
      <c r="A756" s="234" t="s">
        <v>1581</v>
      </c>
      <c r="C756" s="234" t="s">
        <v>1580</v>
      </c>
    </row>
    <row r="757" spans="1:3" x14ac:dyDescent="0.25">
      <c r="A757" s="234" t="s">
        <v>1595</v>
      </c>
      <c r="C757" s="234" t="s">
        <v>1594</v>
      </c>
    </row>
    <row r="758" spans="1:3" x14ac:dyDescent="0.25">
      <c r="A758" s="234" t="s">
        <v>1623</v>
      </c>
      <c r="C758" s="234" t="s">
        <v>1622</v>
      </c>
    </row>
    <row r="759" spans="1:3" x14ac:dyDescent="0.25">
      <c r="A759" s="234" t="s">
        <v>1587</v>
      </c>
      <c r="C759" s="234" t="s">
        <v>1586</v>
      </c>
    </row>
    <row r="760" spans="1:3" x14ac:dyDescent="0.25">
      <c r="A760" s="234" t="s">
        <v>1581</v>
      </c>
      <c r="C760" s="234" t="s">
        <v>1580</v>
      </c>
    </row>
    <row r="761" spans="1:3" x14ac:dyDescent="0.25">
      <c r="A761" s="234" t="s">
        <v>1591</v>
      </c>
      <c r="C761" s="234" t="s">
        <v>1590</v>
      </c>
    </row>
    <row r="762" spans="1:3" x14ac:dyDescent="0.25">
      <c r="A762" s="234" t="s">
        <v>1577</v>
      </c>
      <c r="C762" s="234" t="s">
        <v>1576</v>
      </c>
    </row>
    <row r="763" spans="1:3" x14ac:dyDescent="0.25">
      <c r="A763" s="234" t="s">
        <v>1619</v>
      </c>
      <c r="C763" s="234" t="s">
        <v>1618</v>
      </c>
    </row>
    <row r="764" spans="1:3" x14ac:dyDescent="0.25">
      <c r="A764" s="234" t="s">
        <v>1591</v>
      </c>
      <c r="C764" s="234" t="s">
        <v>1590</v>
      </c>
    </row>
    <row r="765" spans="1:3" x14ac:dyDescent="0.25">
      <c r="A765" s="234" t="s">
        <v>1613</v>
      </c>
      <c r="C765" s="234" t="s">
        <v>1612</v>
      </c>
    </row>
    <row r="766" spans="1:3" x14ac:dyDescent="0.25">
      <c r="A766" s="234" t="s">
        <v>1579</v>
      </c>
      <c r="C766" s="234" t="s">
        <v>1578</v>
      </c>
    </row>
    <row r="767" spans="1:3" x14ac:dyDescent="0.25">
      <c r="A767" s="234" t="s">
        <v>1577</v>
      </c>
      <c r="C767" s="234" t="s">
        <v>1576</v>
      </c>
    </row>
    <row r="768" spans="1:3" x14ac:dyDescent="0.25">
      <c r="A768" s="234" t="s">
        <v>1593</v>
      </c>
      <c r="C768" s="234" t="s">
        <v>1592</v>
      </c>
    </row>
    <row r="769" spans="1:3" x14ac:dyDescent="0.25">
      <c r="A769" s="234" t="s">
        <v>1591</v>
      </c>
      <c r="C769" s="234" t="s">
        <v>1590</v>
      </c>
    </row>
    <row r="770" spans="1:3" x14ac:dyDescent="0.25">
      <c r="A770" s="234" t="s">
        <v>1585</v>
      </c>
      <c r="C770" s="234" t="s">
        <v>1584</v>
      </c>
    </row>
    <row r="771" spans="1:3" x14ac:dyDescent="0.25">
      <c r="A771" s="234" t="s">
        <v>1599</v>
      </c>
      <c r="C771" s="234" t="s">
        <v>1598</v>
      </c>
    </row>
    <row r="772" spans="1:3" x14ac:dyDescent="0.25">
      <c r="A772" s="234" t="s">
        <v>1591</v>
      </c>
      <c r="C772" s="234" t="s">
        <v>1590</v>
      </c>
    </row>
    <row r="773" spans="1:3" x14ac:dyDescent="0.25">
      <c r="A773" s="234" t="s">
        <v>1593</v>
      </c>
      <c r="C773" s="234" t="s">
        <v>1592</v>
      </c>
    </row>
    <row r="774" spans="1:3" x14ac:dyDescent="0.25">
      <c r="A774" s="234" t="s">
        <v>1593</v>
      </c>
      <c r="C774" s="234" t="s">
        <v>1592</v>
      </c>
    </row>
    <row r="775" spans="1:3" x14ac:dyDescent="0.25">
      <c r="A775" s="234" t="s">
        <v>1593</v>
      </c>
      <c r="C775" s="234" t="s">
        <v>1592</v>
      </c>
    </row>
    <row r="776" spans="1:3" x14ac:dyDescent="0.25">
      <c r="A776" s="234" t="s">
        <v>1583</v>
      </c>
      <c r="C776" s="234" t="s">
        <v>1582</v>
      </c>
    </row>
    <row r="777" spans="1:3" x14ac:dyDescent="0.25">
      <c r="A777" s="234" t="s">
        <v>1591</v>
      </c>
      <c r="C777" s="234" t="s">
        <v>1590</v>
      </c>
    </row>
    <row r="778" spans="1:3" x14ac:dyDescent="0.25">
      <c r="A778" s="234" t="s">
        <v>1577</v>
      </c>
      <c r="C778" s="234" t="s">
        <v>1576</v>
      </c>
    </row>
    <row r="779" spans="1:3" x14ac:dyDescent="0.25">
      <c r="A779" s="234" t="s">
        <v>1595</v>
      </c>
      <c r="C779" s="234" t="s">
        <v>1594</v>
      </c>
    </row>
    <row r="780" spans="1:3" x14ac:dyDescent="0.25">
      <c r="A780" s="234" t="s">
        <v>1589</v>
      </c>
      <c r="C780" s="234" t="s">
        <v>1588</v>
      </c>
    </row>
    <row r="781" spans="1:3" x14ac:dyDescent="0.25">
      <c r="A781" s="234" t="s">
        <v>1617</v>
      </c>
      <c r="C781" s="234" t="s">
        <v>1616</v>
      </c>
    </row>
    <row r="782" spans="1:3" x14ac:dyDescent="0.25">
      <c r="A782" s="234" t="s">
        <v>1577</v>
      </c>
      <c r="C782" s="234" t="s">
        <v>1576</v>
      </c>
    </row>
    <row r="783" spans="1:3" x14ac:dyDescent="0.25">
      <c r="A783" s="234" t="s">
        <v>1581</v>
      </c>
      <c r="C783" s="234" t="s">
        <v>1580</v>
      </c>
    </row>
    <row r="784" spans="1:3" x14ac:dyDescent="0.25">
      <c r="A784" s="234" t="s">
        <v>1595</v>
      </c>
      <c r="C784" s="234" t="s">
        <v>1594</v>
      </c>
    </row>
    <row r="785" spans="1:3" x14ac:dyDescent="0.25">
      <c r="A785" s="234" t="s">
        <v>1583</v>
      </c>
      <c r="C785" s="234" t="s">
        <v>1582</v>
      </c>
    </row>
    <row r="786" spans="1:3" x14ac:dyDescent="0.25">
      <c r="A786" s="234" t="s">
        <v>1617</v>
      </c>
      <c r="C786" s="234" t="s">
        <v>1616</v>
      </c>
    </row>
    <row r="787" spans="1:3" x14ac:dyDescent="0.25">
      <c r="A787" s="234" t="s">
        <v>1583</v>
      </c>
      <c r="C787" s="234" t="s">
        <v>1582</v>
      </c>
    </row>
    <row r="788" spans="1:3" x14ac:dyDescent="0.25">
      <c r="A788" s="234" t="s">
        <v>1603</v>
      </c>
      <c r="C788" s="234" t="s">
        <v>1602</v>
      </c>
    </row>
    <row r="789" spans="1:3" x14ac:dyDescent="0.25">
      <c r="A789" s="234" t="s">
        <v>1619</v>
      </c>
      <c r="C789" s="234" t="s">
        <v>1618</v>
      </c>
    </row>
    <row r="790" spans="1:3" x14ac:dyDescent="0.25">
      <c r="A790" s="234" t="s">
        <v>1577</v>
      </c>
      <c r="C790" s="234" t="s">
        <v>1576</v>
      </c>
    </row>
    <row r="791" spans="1:3" x14ac:dyDescent="0.25">
      <c r="A791" s="234" t="s">
        <v>1583</v>
      </c>
      <c r="C791" s="234" t="s">
        <v>1582</v>
      </c>
    </row>
    <row r="792" spans="1:3" x14ac:dyDescent="0.25">
      <c r="A792" s="234" t="s">
        <v>1607</v>
      </c>
      <c r="C792" s="234" t="s">
        <v>1606</v>
      </c>
    </row>
    <row r="793" spans="1:3" x14ac:dyDescent="0.25">
      <c r="A793" s="234" t="s">
        <v>1621</v>
      </c>
      <c r="C793" s="234" t="s">
        <v>1620</v>
      </c>
    </row>
    <row r="794" spans="1:3" x14ac:dyDescent="0.25">
      <c r="A794" s="234" t="s">
        <v>1615</v>
      </c>
      <c r="C794" s="234" t="s">
        <v>1614</v>
      </c>
    </row>
    <row r="795" spans="1:3" x14ac:dyDescent="0.25">
      <c r="A795" s="234" t="s">
        <v>1621</v>
      </c>
      <c r="C795" s="234" t="s">
        <v>1620</v>
      </c>
    </row>
    <row r="796" spans="1:3" x14ac:dyDescent="0.25">
      <c r="A796" s="234" t="s">
        <v>1595</v>
      </c>
      <c r="C796" s="234" t="s">
        <v>1594</v>
      </c>
    </row>
    <row r="797" spans="1:3" x14ac:dyDescent="0.25">
      <c r="A797" s="234" t="s">
        <v>1577</v>
      </c>
      <c r="C797" s="234" t="s">
        <v>1576</v>
      </c>
    </row>
    <row r="798" spans="1:3" x14ac:dyDescent="0.25">
      <c r="A798" s="234" t="s">
        <v>1593</v>
      </c>
      <c r="C798" s="234" t="s">
        <v>1592</v>
      </c>
    </row>
    <row r="799" spans="1:3" x14ac:dyDescent="0.25">
      <c r="A799" s="234" t="s">
        <v>1607</v>
      </c>
      <c r="C799" s="234" t="s">
        <v>1606</v>
      </c>
    </row>
    <row r="800" spans="1:3" x14ac:dyDescent="0.25">
      <c r="A800" s="234" t="s">
        <v>1597</v>
      </c>
      <c r="C800" s="234" t="s">
        <v>1596</v>
      </c>
    </row>
    <row r="801" spans="1:3" x14ac:dyDescent="0.25">
      <c r="A801" s="234" t="s">
        <v>1597</v>
      </c>
      <c r="C801" s="234" t="s">
        <v>1596</v>
      </c>
    </row>
    <row r="802" spans="1:3" x14ac:dyDescent="0.25">
      <c r="A802" s="234" t="s">
        <v>1591</v>
      </c>
      <c r="C802" s="234" t="s">
        <v>1590</v>
      </c>
    </row>
    <row r="803" spans="1:3" x14ac:dyDescent="0.25">
      <c r="A803" s="234" t="s">
        <v>1607</v>
      </c>
      <c r="C803" s="234" t="s">
        <v>1606</v>
      </c>
    </row>
    <row r="804" spans="1:3" x14ac:dyDescent="0.25">
      <c r="A804" s="234" t="s">
        <v>1605</v>
      </c>
      <c r="C804" s="234" t="s">
        <v>1604</v>
      </c>
    </row>
    <row r="805" spans="1:3" x14ac:dyDescent="0.25">
      <c r="A805" s="234" t="s">
        <v>1597</v>
      </c>
      <c r="C805" s="234" t="s">
        <v>1596</v>
      </c>
    </row>
    <row r="806" spans="1:3" x14ac:dyDescent="0.25">
      <c r="A806" s="234" t="s">
        <v>1621</v>
      </c>
      <c r="C806" s="234" t="s">
        <v>1620</v>
      </c>
    </row>
    <row r="807" spans="1:3" x14ac:dyDescent="0.25">
      <c r="A807" s="234" t="s">
        <v>1593</v>
      </c>
      <c r="C807" s="234" t="s">
        <v>1592</v>
      </c>
    </row>
    <row r="808" spans="1:3" x14ac:dyDescent="0.25">
      <c r="A808" s="234" t="s">
        <v>1609</v>
      </c>
      <c r="C808" s="234" t="s">
        <v>1608</v>
      </c>
    </row>
    <row r="809" spans="1:3" x14ac:dyDescent="0.25">
      <c r="A809" s="234" t="s">
        <v>1603</v>
      </c>
      <c r="C809" s="234" t="s">
        <v>1602</v>
      </c>
    </row>
    <row r="810" spans="1:3" x14ac:dyDescent="0.25">
      <c r="A810" s="234" t="s">
        <v>1617</v>
      </c>
      <c r="C810" s="234" t="s">
        <v>1616</v>
      </c>
    </row>
    <row r="811" spans="1:3" x14ac:dyDescent="0.25">
      <c r="A811" s="234" t="s">
        <v>1609</v>
      </c>
      <c r="C811" s="234" t="s">
        <v>1608</v>
      </c>
    </row>
    <row r="812" spans="1:3" x14ac:dyDescent="0.25">
      <c r="A812" s="234" t="s">
        <v>1621</v>
      </c>
      <c r="C812" s="234" t="s">
        <v>1620</v>
      </c>
    </row>
    <row r="813" spans="1:3" x14ac:dyDescent="0.25">
      <c r="A813" s="234" t="s">
        <v>1579</v>
      </c>
      <c r="C813" s="234" t="s">
        <v>1578</v>
      </c>
    </row>
    <row r="814" spans="1:3" x14ac:dyDescent="0.25">
      <c r="A814" s="234" t="s">
        <v>1587</v>
      </c>
      <c r="C814" s="234" t="s">
        <v>1586</v>
      </c>
    </row>
    <row r="815" spans="1:3" x14ac:dyDescent="0.25">
      <c r="A815" s="234" t="s">
        <v>1599</v>
      </c>
      <c r="C815" s="234" t="s">
        <v>1598</v>
      </c>
    </row>
    <row r="816" spans="1:3" x14ac:dyDescent="0.25">
      <c r="A816" s="234" t="s">
        <v>1577</v>
      </c>
      <c r="C816" s="234" t="s">
        <v>1576</v>
      </c>
    </row>
    <row r="817" spans="1:3" x14ac:dyDescent="0.25">
      <c r="A817" s="234" t="s">
        <v>1623</v>
      </c>
      <c r="C817" s="234" t="s">
        <v>1622</v>
      </c>
    </row>
    <row r="818" spans="1:3" x14ac:dyDescent="0.25">
      <c r="A818" s="234" t="s">
        <v>1593</v>
      </c>
      <c r="C818" s="234" t="s">
        <v>1592</v>
      </c>
    </row>
    <row r="819" spans="1:3" x14ac:dyDescent="0.25">
      <c r="A819" s="234" t="s">
        <v>1591</v>
      </c>
      <c r="C819" s="234" t="s">
        <v>1590</v>
      </c>
    </row>
    <row r="820" spans="1:3" x14ac:dyDescent="0.25">
      <c r="A820" s="234" t="s">
        <v>1621</v>
      </c>
      <c r="C820" s="234" t="s">
        <v>1620</v>
      </c>
    </row>
    <row r="821" spans="1:3" x14ac:dyDescent="0.25">
      <c r="A821" s="234" t="s">
        <v>1583</v>
      </c>
      <c r="C821" s="234" t="s">
        <v>1582</v>
      </c>
    </row>
    <row r="822" spans="1:3" x14ac:dyDescent="0.25">
      <c r="A822" s="234" t="s">
        <v>1607</v>
      </c>
      <c r="C822" s="234" t="s">
        <v>1606</v>
      </c>
    </row>
    <row r="823" spans="1:3" x14ac:dyDescent="0.25">
      <c r="A823" s="234" t="s">
        <v>1603</v>
      </c>
      <c r="C823" s="234" t="s">
        <v>1602</v>
      </c>
    </row>
    <row r="824" spans="1:3" x14ac:dyDescent="0.25">
      <c r="A824" s="234" t="s">
        <v>1611</v>
      </c>
      <c r="C824" s="234" t="s">
        <v>1610</v>
      </c>
    </row>
    <row r="825" spans="1:3" x14ac:dyDescent="0.25">
      <c r="A825" s="234" t="s">
        <v>1579</v>
      </c>
      <c r="C825" s="234" t="s">
        <v>1578</v>
      </c>
    </row>
    <row r="826" spans="1:3" x14ac:dyDescent="0.25">
      <c r="A826" s="234" t="s">
        <v>1589</v>
      </c>
      <c r="C826" s="234" t="s">
        <v>1588</v>
      </c>
    </row>
    <row r="827" spans="1:3" x14ac:dyDescent="0.25">
      <c r="A827" s="234" t="s">
        <v>1593</v>
      </c>
      <c r="C827" s="234" t="s">
        <v>1592</v>
      </c>
    </row>
    <row r="828" spans="1:3" x14ac:dyDescent="0.25">
      <c r="A828" s="234" t="s">
        <v>1617</v>
      </c>
      <c r="C828" s="234" t="s">
        <v>1616</v>
      </c>
    </row>
    <row r="829" spans="1:3" x14ac:dyDescent="0.25">
      <c r="A829" s="234" t="s">
        <v>1581</v>
      </c>
      <c r="C829" s="234" t="s">
        <v>1580</v>
      </c>
    </row>
    <row r="830" spans="1:3" x14ac:dyDescent="0.25">
      <c r="A830" s="234" t="s">
        <v>1583</v>
      </c>
      <c r="C830" s="234" t="s">
        <v>1582</v>
      </c>
    </row>
    <row r="831" spans="1:3" x14ac:dyDescent="0.25">
      <c r="A831" s="234" t="s">
        <v>1615</v>
      </c>
      <c r="C831" s="234" t="s">
        <v>1614</v>
      </c>
    </row>
    <row r="832" spans="1:3" x14ac:dyDescent="0.25">
      <c r="A832" s="234" t="s">
        <v>1609</v>
      </c>
      <c r="C832" s="234" t="s">
        <v>1608</v>
      </c>
    </row>
    <row r="833" spans="1:3" x14ac:dyDescent="0.25">
      <c r="A833" s="234" t="s">
        <v>1587</v>
      </c>
      <c r="C833" s="234" t="s">
        <v>1586</v>
      </c>
    </row>
    <row r="834" spans="1:3" x14ac:dyDescent="0.25">
      <c r="A834" s="234" t="s">
        <v>1585</v>
      </c>
      <c r="C834" s="234" t="s">
        <v>1584</v>
      </c>
    </row>
    <row r="835" spans="1:3" x14ac:dyDescent="0.25">
      <c r="A835" s="234" t="s">
        <v>1621</v>
      </c>
      <c r="C835" s="234" t="s">
        <v>1620</v>
      </c>
    </row>
    <row r="836" spans="1:3" x14ac:dyDescent="0.25">
      <c r="A836" s="234" t="s">
        <v>1599</v>
      </c>
      <c r="C836" s="234" t="s">
        <v>1598</v>
      </c>
    </row>
    <row r="837" spans="1:3" x14ac:dyDescent="0.25">
      <c r="A837" s="234" t="s">
        <v>1587</v>
      </c>
      <c r="C837" s="234" t="s">
        <v>1586</v>
      </c>
    </row>
    <row r="838" spans="1:3" x14ac:dyDescent="0.25">
      <c r="A838" s="234" t="s">
        <v>1611</v>
      </c>
      <c r="C838" s="234" t="s">
        <v>1610</v>
      </c>
    </row>
    <row r="839" spans="1:3" x14ac:dyDescent="0.25">
      <c r="A839" s="234" t="s">
        <v>1597</v>
      </c>
      <c r="C839" s="234" t="s">
        <v>1596</v>
      </c>
    </row>
    <row r="840" spans="1:3" x14ac:dyDescent="0.25">
      <c r="A840" s="234" t="s">
        <v>1587</v>
      </c>
      <c r="C840" s="234" t="s">
        <v>1586</v>
      </c>
    </row>
    <row r="841" spans="1:3" x14ac:dyDescent="0.25">
      <c r="A841" s="234" t="s">
        <v>1591</v>
      </c>
      <c r="C841" s="234" t="s">
        <v>1590</v>
      </c>
    </row>
    <row r="842" spans="1:3" x14ac:dyDescent="0.25">
      <c r="A842" s="234" t="s">
        <v>1615</v>
      </c>
      <c r="C842" s="234" t="s">
        <v>1614</v>
      </c>
    </row>
    <row r="843" spans="1:3" x14ac:dyDescent="0.25">
      <c r="A843" s="234" t="s">
        <v>1589</v>
      </c>
      <c r="C843" s="234" t="s">
        <v>1588</v>
      </c>
    </row>
    <row r="844" spans="1:3" x14ac:dyDescent="0.25">
      <c r="A844" s="234" t="s">
        <v>1611</v>
      </c>
      <c r="C844" s="234" t="s">
        <v>1610</v>
      </c>
    </row>
    <row r="845" spans="1:3" x14ac:dyDescent="0.25">
      <c r="A845" s="234" t="s">
        <v>1595</v>
      </c>
      <c r="C845" s="234" t="s">
        <v>1594</v>
      </c>
    </row>
    <row r="846" spans="1:3" x14ac:dyDescent="0.25">
      <c r="A846" s="234" t="s">
        <v>1619</v>
      </c>
      <c r="C846" s="234" t="s">
        <v>1618</v>
      </c>
    </row>
    <row r="847" spans="1:3" x14ac:dyDescent="0.25">
      <c r="A847" s="234" t="s">
        <v>1617</v>
      </c>
      <c r="C847" s="234" t="s">
        <v>1616</v>
      </c>
    </row>
    <row r="848" spans="1:3" x14ac:dyDescent="0.25">
      <c r="A848" s="234" t="s">
        <v>1615</v>
      </c>
      <c r="C848" s="234" t="s">
        <v>1614</v>
      </c>
    </row>
    <row r="849" spans="1:3" x14ac:dyDescent="0.25">
      <c r="A849" s="234" t="s">
        <v>1615</v>
      </c>
      <c r="C849" s="234" t="s">
        <v>1614</v>
      </c>
    </row>
    <row r="850" spans="1:3" x14ac:dyDescent="0.25">
      <c r="A850" s="234" t="s">
        <v>1597</v>
      </c>
      <c r="C850" s="234" t="s">
        <v>1596</v>
      </c>
    </row>
    <row r="851" spans="1:3" x14ac:dyDescent="0.25">
      <c r="A851" s="234" t="s">
        <v>1579</v>
      </c>
      <c r="C851" s="234" t="s">
        <v>1578</v>
      </c>
    </row>
    <row r="852" spans="1:3" x14ac:dyDescent="0.25">
      <c r="A852" s="234" t="s">
        <v>1589</v>
      </c>
      <c r="C852" s="234" t="s">
        <v>1588</v>
      </c>
    </row>
    <row r="853" spans="1:3" x14ac:dyDescent="0.25">
      <c r="A853" s="234" t="s">
        <v>1601</v>
      </c>
      <c r="C853" s="234" t="s">
        <v>1600</v>
      </c>
    </row>
    <row r="854" spans="1:3" x14ac:dyDescent="0.25">
      <c r="A854" s="234" t="s">
        <v>1599</v>
      </c>
      <c r="C854" s="234" t="s">
        <v>1598</v>
      </c>
    </row>
    <row r="855" spans="1:3" x14ac:dyDescent="0.25">
      <c r="A855" s="234" t="s">
        <v>1609</v>
      </c>
      <c r="C855" s="234" t="s">
        <v>1608</v>
      </c>
    </row>
    <row r="856" spans="1:3" x14ac:dyDescent="0.25">
      <c r="A856" s="234" t="s">
        <v>1591</v>
      </c>
      <c r="C856" s="234" t="s">
        <v>1590</v>
      </c>
    </row>
    <row r="857" spans="1:3" x14ac:dyDescent="0.25">
      <c r="A857" s="234" t="s">
        <v>1577</v>
      </c>
      <c r="C857" s="234" t="s">
        <v>1576</v>
      </c>
    </row>
    <row r="858" spans="1:3" x14ac:dyDescent="0.25">
      <c r="A858" s="234" t="s">
        <v>1595</v>
      </c>
      <c r="C858" s="234" t="s">
        <v>1594</v>
      </c>
    </row>
    <row r="859" spans="1:3" x14ac:dyDescent="0.25">
      <c r="A859" s="234" t="s">
        <v>1583</v>
      </c>
      <c r="C859" s="234" t="s">
        <v>1582</v>
      </c>
    </row>
    <row r="860" spans="1:3" x14ac:dyDescent="0.25">
      <c r="A860" s="234" t="s">
        <v>1583</v>
      </c>
      <c r="C860" s="234" t="s">
        <v>1582</v>
      </c>
    </row>
    <row r="861" spans="1:3" x14ac:dyDescent="0.25">
      <c r="A861" s="234" t="s">
        <v>1615</v>
      </c>
      <c r="C861" s="234" t="s">
        <v>1614</v>
      </c>
    </row>
    <row r="862" spans="1:3" x14ac:dyDescent="0.25">
      <c r="A862" s="234" t="s">
        <v>1577</v>
      </c>
      <c r="C862" s="234" t="s">
        <v>1576</v>
      </c>
    </row>
    <row r="863" spans="1:3" x14ac:dyDescent="0.25">
      <c r="A863" s="234" t="s">
        <v>1581</v>
      </c>
      <c r="C863" s="234" t="s">
        <v>1580</v>
      </c>
    </row>
    <row r="864" spans="1:3" x14ac:dyDescent="0.25">
      <c r="A864" s="234" t="s">
        <v>1603</v>
      </c>
      <c r="C864" s="234" t="s">
        <v>1602</v>
      </c>
    </row>
    <row r="865" spans="1:3" x14ac:dyDescent="0.25">
      <c r="A865" s="234" t="s">
        <v>1613</v>
      </c>
      <c r="C865" s="234" t="s">
        <v>1612</v>
      </c>
    </row>
    <row r="866" spans="1:3" x14ac:dyDescent="0.25">
      <c r="A866" s="234" t="s">
        <v>1587</v>
      </c>
      <c r="C866" s="234" t="s">
        <v>1586</v>
      </c>
    </row>
    <row r="867" spans="1:3" x14ac:dyDescent="0.25">
      <c r="A867" s="234" t="s">
        <v>1613</v>
      </c>
      <c r="C867" s="234" t="s">
        <v>1612</v>
      </c>
    </row>
    <row r="868" spans="1:3" x14ac:dyDescent="0.25">
      <c r="A868" s="234" t="s">
        <v>1613</v>
      </c>
      <c r="C868" s="234" t="s">
        <v>1612</v>
      </c>
    </row>
    <row r="869" spans="1:3" x14ac:dyDescent="0.25">
      <c r="A869" s="234" t="s">
        <v>1603</v>
      </c>
      <c r="C869" s="234" t="s">
        <v>1602</v>
      </c>
    </row>
    <row r="870" spans="1:3" x14ac:dyDescent="0.25">
      <c r="A870" s="234" t="s">
        <v>1603</v>
      </c>
      <c r="C870" s="234" t="s">
        <v>1602</v>
      </c>
    </row>
    <row r="871" spans="1:3" x14ac:dyDescent="0.25">
      <c r="A871" s="234" t="s">
        <v>1595</v>
      </c>
      <c r="C871" s="234" t="s">
        <v>1594</v>
      </c>
    </row>
    <row r="872" spans="1:3" x14ac:dyDescent="0.25">
      <c r="A872" s="234" t="s">
        <v>1611</v>
      </c>
      <c r="C872" s="234" t="s">
        <v>1610</v>
      </c>
    </row>
    <row r="873" spans="1:3" x14ac:dyDescent="0.25">
      <c r="A873" s="234" t="s">
        <v>1593</v>
      </c>
      <c r="C873" s="234" t="s">
        <v>1592</v>
      </c>
    </row>
    <row r="874" spans="1:3" x14ac:dyDescent="0.25">
      <c r="A874" s="234" t="s">
        <v>1609</v>
      </c>
      <c r="C874" s="234" t="s">
        <v>1608</v>
      </c>
    </row>
    <row r="875" spans="1:3" x14ac:dyDescent="0.25">
      <c r="A875" s="234" t="s">
        <v>1587</v>
      </c>
      <c r="C875" s="234" t="s">
        <v>1586</v>
      </c>
    </row>
    <row r="876" spans="1:3" x14ac:dyDescent="0.25">
      <c r="A876" s="234" t="s">
        <v>1587</v>
      </c>
      <c r="C876" s="234" t="s">
        <v>1586</v>
      </c>
    </row>
    <row r="877" spans="1:3" x14ac:dyDescent="0.25">
      <c r="A877" s="234" t="s">
        <v>1605</v>
      </c>
      <c r="C877" s="234" t="s">
        <v>1604</v>
      </c>
    </row>
    <row r="878" spans="1:3" x14ac:dyDescent="0.25">
      <c r="A878" s="234" t="s">
        <v>1581</v>
      </c>
      <c r="C878" s="234" t="s">
        <v>1580</v>
      </c>
    </row>
    <row r="879" spans="1:3" x14ac:dyDescent="0.25">
      <c r="A879" s="234" t="s">
        <v>1607</v>
      </c>
      <c r="C879" s="234" t="s">
        <v>1606</v>
      </c>
    </row>
    <row r="880" spans="1:3" x14ac:dyDescent="0.25">
      <c r="A880" s="234" t="s">
        <v>1581</v>
      </c>
      <c r="C880" s="234" t="s">
        <v>1580</v>
      </c>
    </row>
    <row r="881" spans="1:3" x14ac:dyDescent="0.25">
      <c r="A881" s="234" t="s">
        <v>1579</v>
      </c>
      <c r="C881" s="234" t="s">
        <v>1578</v>
      </c>
    </row>
    <row r="882" spans="1:3" x14ac:dyDescent="0.25">
      <c r="A882" s="234" t="s">
        <v>1587</v>
      </c>
      <c r="C882" s="234" t="s">
        <v>1586</v>
      </c>
    </row>
    <row r="883" spans="1:3" x14ac:dyDescent="0.25">
      <c r="A883" s="234" t="s">
        <v>1585</v>
      </c>
      <c r="C883" s="234" t="s">
        <v>1584</v>
      </c>
    </row>
    <row r="884" spans="1:3" x14ac:dyDescent="0.25">
      <c r="A884" s="234" t="s">
        <v>1585</v>
      </c>
      <c r="C884" s="234" t="s">
        <v>1584</v>
      </c>
    </row>
    <row r="885" spans="1:3" x14ac:dyDescent="0.25">
      <c r="A885" s="234" t="s">
        <v>1601</v>
      </c>
      <c r="C885" s="234" t="s">
        <v>1600</v>
      </c>
    </row>
    <row r="886" spans="1:3" x14ac:dyDescent="0.25">
      <c r="A886" s="234" t="s">
        <v>1605</v>
      </c>
      <c r="C886" s="234" t="s">
        <v>1604</v>
      </c>
    </row>
    <row r="887" spans="1:3" x14ac:dyDescent="0.25">
      <c r="A887" s="234" t="s">
        <v>1597</v>
      </c>
      <c r="C887" s="234" t="s">
        <v>1596</v>
      </c>
    </row>
    <row r="888" spans="1:3" x14ac:dyDescent="0.25">
      <c r="A888" s="234" t="s">
        <v>1593</v>
      </c>
      <c r="C888" s="234" t="s">
        <v>1592</v>
      </c>
    </row>
    <row r="889" spans="1:3" x14ac:dyDescent="0.25">
      <c r="A889" s="234" t="s">
        <v>1591</v>
      </c>
      <c r="C889" s="234" t="s">
        <v>1590</v>
      </c>
    </row>
    <row r="890" spans="1:3" x14ac:dyDescent="0.25">
      <c r="A890" s="234" t="s">
        <v>1599</v>
      </c>
      <c r="C890" s="234" t="s">
        <v>1598</v>
      </c>
    </row>
    <row r="891" spans="1:3" x14ac:dyDescent="0.25">
      <c r="A891" s="234" t="s">
        <v>1587</v>
      </c>
      <c r="C891" s="234" t="s">
        <v>1586</v>
      </c>
    </row>
    <row r="892" spans="1:3" x14ac:dyDescent="0.25">
      <c r="A892" s="234" t="s">
        <v>1603</v>
      </c>
      <c r="C892" s="234" t="s">
        <v>1602</v>
      </c>
    </row>
    <row r="893" spans="1:3" x14ac:dyDescent="0.25">
      <c r="A893" s="234" t="s">
        <v>1583</v>
      </c>
      <c r="C893" s="234" t="s">
        <v>1582</v>
      </c>
    </row>
    <row r="894" spans="1:3" x14ac:dyDescent="0.25">
      <c r="A894" s="234" t="s">
        <v>1601</v>
      </c>
      <c r="C894" s="234" t="s">
        <v>1600</v>
      </c>
    </row>
    <row r="895" spans="1:3" x14ac:dyDescent="0.25">
      <c r="A895" s="234" t="s">
        <v>1589</v>
      </c>
      <c r="C895" s="234" t="s">
        <v>1588</v>
      </c>
    </row>
    <row r="896" spans="1:3" x14ac:dyDescent="0.25">
      <c r="A896" s="234" t="s">
        <v>1599</v>
      </c>
      <c r="C896" s="234" t="s">
        <v>1598</v>
      </c>
    </row>
    <row r="897" spans="1:3" x14ac:dyDescent="0.25">
      <c r="A897" s="234" t="s">
        <v>1597</v>
      </c>
      <c r="C897" s="234" t="s">
        <v>1596</v>
      </c>
    </row>
    <row r="898" spans="1:3" x14ac:dyDescent="0.25">
      <c r="A898" s="234" t="s">
        <v>1595</v>
      </c>
      <c r="C898" s="234" t="s">
        <v>1594</v>
      </c>
    </row>
    <row r="899" spans="1:3" x14ac:dyDescent="0.25">
      <c r="A899" s="234" t="s">
        <v>1593</v>
      </c>
      <c r="C899" s="234" t="s">
        <v>1592</v>
      </c>
    </row>
    <row r="900" spans="1:3" x14ac:dyDescent="0.25">
      <c r="A900" s="234" t="s">
        <v>1591</v>
      </c>
      <c r="C900" s="234" t="s">
        <v>1590</v>
      </c>
    </row>
    <row r="901" spans="1:3" x14ac:dyDescent="0.25">
      <c r="A901" s="234" t="s">
        <v>1585</v>
      </c>
      <c r="C901" s="234" t="s">
        <v>1584</v>
      </c>
    </row>
    <row r="902" spans="1:3" x14ac:dyDescent="0.25">
      <c r="A902" s="234" t="s">
        <v>1589</v>
      </c>
      <c r="C902" s="234" t="s">
        <v>1588</v>
      </c>
    </row>
    <row r="903" spans="1:3" x14ac:dyDescent="0.25">
      <c r="A903" s="234" t="s">
        <v>1587</v>
      </c>
      <c r="C903" s="234" t="s">
        <v>1586</v>
      </c>
    </row>
    <row r="904" spans="1:3" x14ac:dyDescent="0.25">
      <c r="A904" s="234" t="s">
        <v>1585</v>
      </c>
      <c r="C904" s="234" t="s">
        <v>1584</v>
      </c>
    </row>
    <row r="905" spans="1:3" x14ac:dyDescent="0.25">
      <c r="A905" s="234" t="s">
        <v>1579</v>
      </c>
      <c r="C905" s="234" t="s">
        <v>1578</v>
      </c>
    </row>
    <row r="906" spans="1:3" x14ac:dyDescent="0.25">
      <c r="A906" s="234" t="s">
        <v>1583</v>
      </c>
      <c r="C906" s="234" t="s">
        <v>1582</v>
      </c>
    </row>
    <row r="907" spans="1:3" x14ac:dyDescent="0.25">
      <c r="A907" s="234" t="s">
        <v>1581</v>
      </c>
      <c r="C907" s="234" t="s">
        <v>1580</v>
      </c>
    </row>
    <row r="908" spans="1:3" x14ac:dyDescent="0.25">
      <c r="A908" s="234" t="s">
        <v>1579</v>
      </c>
      <c r="C908" s="234" t="s">
        <v>1578</v>
      </c>
    </row>
    <row r="909" spans="1:3" x14ac:dyDescent="0.25">
      <c r="A909" s="234" t="s">
        <v>1579</v>
      </c>
      <c r="C909" s="234" t="s">
        <v>1578</v>
      </c>
    </row>
    <row r="910" spans="1:3" x14ac:dyDescent="0.25">
      <c r="A910" s="234" t="s">
        <v>1577</v>
      </c>
      <c r="C910" s="234" t="s">
        <v>1576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1"/>
  <sheetViews>
    <sheetView zoomScale="130" zoomScaleNormal="130" workbookViewId="0">
      <selection activeCell="B35" sqref="B35"/>
    </sheetView>
  </sheetViews>
  <sheetFormatPr defaultRowHeight="15" x14ac:dyDescent="0.25"/>
  <cols>
    <col min="1" max="1" width="9.140625" style="238"/>
    <col min="2" max="2" width="25.42578125" style="239" customWidth="1"/>
    <col min="3" max="4" width="9.140625" style="238"/>
    <col min="5" max="5" width="25.140625" style="239" customWidth="1"/>
    <col min="6" max="16384" width="9.140625" style="238"/>
  </cols>
  <sheetData>
    <row r="1" spans="2:5" x14ac:dyDescent="0.25">
      <c r="B1" s="240" t="s">
        <v>1677</v>
      </c>
      <c r="C1" s="241"/>
      <c r="D1" s="241"/>
      <c r="E1" s="240" t="s">
        <v>1677</v>
      </c>
    </row>
    <row r="2" spans="2:5" x14ac:dyDescent="0.25">
      <c r="B2" s="239" t="s">
        <v>1664</v>
      </c>
      <c r="E2" s="239" t="s">
        <v>1676</v>
      </c>
    </row>
    <row r="3" spans="2:5" x14ac:dyDescent="0.25">
      <c r="B3" s="239" t="s">
        <v>1675</v>
      </c>
      <c r="E3" s="239" t="s">
        <v>1674</v>
      </c>
    </row>
    <row r="4" spans="2:5" x14ac:dyDescent="0.25">
      <c r="B4" s="239" t="s">
        <v>1673</v>
      </c>
      <c r="E4" s="239" t="s">
        <v>1672</v>
      </c>
    </row>
    <row r="5" spans="2:5" x14ac:dyDescent="0.25">
      <c r="B5" s="239" t="s">
        <v>1671</v>
      </c>
      <c r="E5" s="239" t="s">
        <v>1670</v>
      </c>
    </row>
    <row r="6" spans="2:5" x14ac:dyDescent="0.25">
      <c r="B6" s="239" t="s">
        <v>1669</v>
      </c>
      <c r="E6" s="239" t="s">
        <v>1668</v>
      </c>
    </row>
    <row r="7" spans="2:5" x14ac:dyDescent="0.25">
      <c r="B7" s="239" t="s">
        <v>1667</v>
      </c>
      <c r="E7" s="239" t="s">
        <v>1666</v>
      </c>
    </row>
    <row r="8" spans="2:5" x14ac:dyDescent="0.25">
      <c r="B8" s="239" t="s">
        <v>1665</v>
      </c>
      <c r="E8" s="239" t="s">
        <v>1664</v>
      </c>
    </row>
    <row r="9" spans="2:5" x14ac:dyDescent="0.25">
      <c r="B9" s="239" t="s">
        <v>1663</v>
      </c>
      <c r="E9" s="239" t="s">
        <v>1662</v>
      </c>
    </row>
    <row r="10" spans="2:5" x14ac:dyDescent="0.25">
      <c r="B10" s="239" t="s">
        <v>1661</v>
      </c>
      <c r="E10" s="239" t="s">
        <v>1660</v>
      </c>
    </row>
    <row r="11" spans="2:5" x14ac:dyDescent="0.25">
      <c r="B11" s="239" t="s">
        <v>1659</v>
      </c>
      <c r="E11" s="239" t="s">
        <v>1658</v>
      </c>
    </row>
    <row r="12" spans="2:5" x14ac:dyDescent="0.25">
      <c r="B12" s="239" t="s">
        <v>1657</v>
      </c>
      <c r="E12" s="239" t="s">
        <v>1656</v>
      </c>
    </row>
    <row r="13" spans="2:5" x14ac:dyDescent="0.25">
      <c r="B13" s="239" t="s">
        <v>1655</v>
      </c>
      <c r="E13" s="239" t="s">
        <v>1654</v>
      </c>
    </row>
    <row r="14" spans="2:5" x14ac:dyDescent="0.25">
      <c r="B14" s="239" t="s">
        <v>1653</v>
      </c>
      <c r="E14" s="239" t="s">
        <v>1652</v>
      </c>
    </row>
    <row r="15" spans="2:5" x14ac:dyDescent="0.25">
      <c r="B15" s="239" t="s">
        <v>1651</v>
      </c>
      <c r="E15" s="239" t="s">
        <v>1650</v>
      </c>
    </row>
    <row r="16" spans="2:5" x14ac:dyDescent="0.25">
      <c r="B16" s="239" t="s">
        <v>1649</v>
      </c>
      <c r="E16" s="239" t="s">
        <v>1648</v>
      </c>
    </row>
    <row r="17" spans="2:5" x14ac:dyDescent="0.25">
      <c r="B17" s="239" t="s">
        <v>1647</v>
      </c>
      <c r="E17" s="239" t="s">
        <v>1646</v>
      </c>
    </row>
    <row r="18" spans="2:5" x14ac:dyDescent="0.25">
      <c r="B18" s="239" t="s">
        <v>1645</v>
      </c>
      <c r="E18" s="239" t="s">
        <v>1644</v>
      </c>
    </row>
    <row r="19" spans="2:5" x14ac:dyDescent="0.25">
      <c r="B19" s="239" t="s">
        <v>1643</v>
      </c>
      <c r="E19" s="239" t="s">
        <v>1642</v>
      </c>
    </row>
    <row r="20" spans="2:5" x14ac:dyDescent="0.25">
      <c r="B20" s="239" t="s">
        <v>1641</v>
      </c>
      <c r="E20" s="239" t="s">
        <v>1640</v>
      </c>
    </row>
    <row r="21" spans="2:5" x14ac:dyDescent="0.25">
      <c r="B21" s="239" t="s">
        <v>1639</v>
      </c>
      <c r="E21" s="239" t="s">
        <v>1638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H30"/>
  <sheetViews>
    <sheetView zoomScale="160" zoomScaleNormal="160" workbookViewId="0">
      <selection activeCell="B35" sqref="B35"/>
    </sheetView>
  </sheetViews>
  <sheetFormatPr defaultRowHeight="15" x14ac:dyDescent="0.25"/>
  <cols>
    <col min="1" max="1" width="12.85546875" style="242" bestFit="1" customWidth="1"/>
    <col min="2" max="2" width="14.140625" style="242" customWidth="1"/>
    <col min="3" max="3" width="9.140625" style="242"/>
    <col min="4" max="4" width="13.7109375" style="242" bestFit="1" customWidth="1"/>
    <col min="5" max="5" width="14.140625" style="234" customWidth="1"/>
    <col min="6" max="8" width="9.140625" style="242"/>
    <col min="9" max="16384" width="9.140625" style="234"/>
  </cols>
  <sheetData>
    <row r="1" spans="1:7" x14ac:dyDescent="0.25">
      <c r="A1" s="248" t="s">
        <v>1683</v>
      </c>
      <c r="B1" s="249" t="s">
        <v>1682</v>
      </c>
      <c r="D1" s="248" t="s">
        <v>1681</v>
      </c>
      <c r="E1" s="247" t="s">
        <v>1680</v>
      </c>
      <c r="F1" s="242" t="s">
        <v>1679</v>
      </c>
      <c r="G1" s="246" t="s">
        <v>1678</v>
      </c>
    </row>
    <row r="2" spans="1:7" x14ac:dyDescent="0.25">
      <c r="A2" s="243">
        <v>2.5</v>
      </c>
      <c r="B2" s="245">
        <f>A2*8/24</f>
        <v>0.83333333333333337</v>
      </c>
      <c r="D2" s="244">
        <v>0.33333333333333331</v>
      </c>
      <c r="E2" s="243">
        <v>30</v>
      </c>
      <c r="F2" s="242">
        <f>D2*E2</f>
        <v>10</v>
      </c>
      <c r="G2" s="242">
        <f>D2*E2*24</f>
        <v>240</v>
      </c>
    </row>
    <row r="3" spans="1:7" x14ac:dyDescent="0.25">
      <c r="A3" s="243">
        <v>1.5</v>
      </c>
      <c r="B3" s="245">
        <f>A3*8/24</f>
        <v>0.5</v>
      </c>
      <c r="D3" s="244">
        <v>0.10416666666666667</v>
      </c>
      <c r="E3" s="243">
        <v>40</v>
      </c>
    </row>
    <row r="4" spans="1:7" x14ac:dyDescent="0.25">
      <c r="A4" s="243">
        <v>1.2</v>
      </c>
      <c r="B4" s="245">
        <f>A4*8/24</f>
        <v>0.39999999999999997</v>
      </c>
      <c r="D4" s="244">
        <v>1.0416666666666666E-2</v>
      </c>
      <c r="E4" s="243">
        <v>29.75</v>
      </c>
    </row>
    <row r="5" spans="1:7" x14ac:dyDescent="0.25">
      <c r="A5" s="243">
        <v>8.1999999999999993</v>
      </c>
      <c r="B5" s="245">
        <f>A5*8/24</f>
        <v>2.7333333333333329</v>
      </c>
      <c r="D5" s="244">
        <v>0.125</v>
      </c>
      <c r="E5" s="243">
        <v>40</v>
      </c>
    </row>
    <row r="6" spans="1:7" x14ac:dyDescent="0.25">
      <c r="A6" s="243">
        <v>7.25</v>
      </c>
      <c r="B6" s="245">
        <f>A6*8/24</f>
        <v>2.4166666666666665</v>
      </c>
      <c r="D6" s="244">
        <v>0.5083333333333333</v>
      </c>
      <c r="E6" s="243">
        <v>40.25</v>
      </c>
    </row>
    <row r="7" spans="1:7" x14ac:dyDescent="0.25">
      <c r="A7" s="243">
        <v>8</v>
      </c>
      <c r="B7" s="245">
        <f>A7*8/24</f>
        <v>2.6666666666666665</v>
      </c>
      <c r="D7" s="244">
        <v>0.25</v>
      </c>
      <c r="E7" s="243">
        <v>45.88</v>
      </c>
    </row>
    <row r="8" spans="1:7" x14ac:dyDescent="0.25">
      <c r="A8" s="243">
        <v>3.6</v>
      </c>
      <c r="B8" s="245">
        <f>A8*8/24</f>
        <v>1.2</v>
      </c>
      <c r="D8" s="244">
        <v>0.37916666666666665</v>
      </c>
      <c r="E8" s="243">
        <v>32</v>
      </c>
    </row>
    <row r="9" spans="1:7" x14ac:dyDescent="0.25">
      <c r="A9" s="243">
        <v>2</v>
      </c>
      <c r="B9" s="245">
        <f>A9*8/24</f>
        <v>0.66666666666666663</v>
      </c>
      <c r="D9" s="244">
        <v>0.23958333333333334</v>
      </c>
      <c r="E9" s="243">
        <v>26.88</v>
      </c>
    </row>
    <row r="10" spans="1:7" x14ac:dyDescent="0.25">
      <c r="A10" s="243">
        <v>6</v>
      </c>
      <c r="B10" s="245">
        <f>A10*8/24</f>
        <v>2</v>
      </c>
      <c r="D10" s="244">
        <v>0.5</v>
      </c>
      <c r="E10" s="243">
        <v>34.630000000000003</v>
      </c>
    </row>
    <row r="11" spans="1:7" x14ac:dyDescent="0.25">
      <c r="A11" s="243">
        <v>9.5</v>
      </c>
      <c r="B11" s="245">
        <f>A11*8/24</f>
        <v>3.1666666666666665</v>
      </c>
      <c r="D11" s="244">
        <v>0.15833333333333333</v>
      </c>
      <c r="E11" s="243">
        <v>32.25</v>
      </c>
    </row>
    <row r="12" spans="1:7" x14ac:dyDescent="0.25">
      <c r="A12" s="243">
        <v>7</v>
      </c>
      <c r="B12" s="245">
        <f>A12*8/24</f>
        <v>2.3333333333333335</v>
      </c>
      <c r="D12" s="244">
        <v>5.2083333333333336E-2</v>
      </c>
      <c r="E12" s="243">
        <v>44.25</v>
      </c>
    </row>
    <row r="13" spans="1:7" x14ac:dyDescent="0.25">
      <c r="A13" s="243">
        <v>8.75</v>
      </c>
      <c r="B13" s="245">
        <f>A13*8/24</f>
        <v>2.9166666666666665</v>
      </c>
      <c r="D13" s="244">
        <v>1.0416666666666666E-2</v>
      </c>
      <c r="E13" s="243">
        <v>35.130000000000003</v>
      </c>
    </row>
    <row r="14" spans="1:7" x14ac:dyDescent="0.25">
      <c r="A14" s="243">
        <v>8.25</v>
      </c>
      <c r="B14" s="245">
        <f>A14*8/24</f>
        <v>2.75</v>
      </c>
      <c r="D14" s="244">
        <v>0.23958333333333334</v>
      </c>
      <c r="E14" s="243">
        <v>26</v>
      </c>
    </row>
    <row r="15" spans="1:7" x14ac:dyDescent="0.25">
      <c r="A15" s="243">
        <v>1.25</v>
      </c>
      <c r="B15" s="245">
        <f>A15*8/24</f>
        <v>0.41666666666666669</v>
      </c>
      <c r="D15" s="244">
        <v>0.26041666666666669</v>
      </c>
      <c r="E15" s="243">
        <v>29.38</v>
      </c>
    </row>
    <row r="16" spans="1:7" x14ac:dyDescent="0.25">
      <c r="A16" s="243">
        <v>4.75</v>
      </c>
      <c r="B16" s="245">
        <f>A16*8/24</f>
        <v>1.5833333333333333</v>
      </c>
      <c r="D16" s="244">
        <v>5.2083333333333336E-2</v>
      </c>
      <c r="E16" s="243">
        <v>49.63</v>
      </c>
    </row>
    <row r="17" spans="1:5" x14ac:dyDescent="0.25">
      <c r="A17" s="243">
        <v>1.75</v>
      </c>
      <c r="B17" s="245">
        <f>A17*8/24</f>
        <v>0.58333333333333337</v>
      </c>
      <c r="D17" s="244">
        <v>9.375E-2</v>
      </c>
      <c r="E17" s="243">
        <v>43.5</v>
      </c>
    </row>
    <row r="18" spans="1:5" x14ac:dyDescent="0.25">
      <c r="A18" s="243">
        <v>9.25</v>
      </c>
      <c r="B18" s="245">
        <f>A18*8/24</f>
        <v>3.0833333333333335</v>
      </c>
      <c r="D18" s="244">
        <v>0.20833333333333334</v>
      </c>
      <c r="E18" s="243">
        <v>39.5</v>
      </c>
    </row>
    <row r="19" spans="1:5" x14ac:dyDescent="0.25">
      <c r="A19" s="243">
        <v>2</v>
      </c>
      <c r="B19" s="245">
        <f>A19*8/24</f>
        <v>0.66666666666666663</v>
      </c>
      <c r="D19" s="244">
        <v>0.10416666666666667</v>
      </c>
      <c r="E19" s="243">
        <v>26.75</v>
      </c>
    </row>
    <row r="20" spans="1:5" x14ac:dyDescent="0.25">
      <c r="A20" s="243">
        <v>8</v>
      </c>
      <c r="B20" s="245">
        <f>A20*8/24</f>
        <v>2.6666666666666665</v>
      </c>
      <c r="D20" s="244">
        <v>9.375E-2</v>
      </c>
      <c r="E20" s="243">
        <v>35.630000000000003</v>
      </c>
    </row>
    <row r="21" spans="1:5" x14ac:dyDescent="0.25">
      <c r="A21" s="243">
        <v>4.5</v>
      </c>
      <c r="B21" s="245">
        <f>A21*8/24</f>
        <v>1.5</v>
      </c>
      <c r="D21" s="244">
        <v>8.3333333333333329E-2</v>
      </c>
      <c r="E21" s="243">
        <v>39.5</v>
      </c>
    </row>
    <row r="22" spans="1:5" x14ac:dyDescent="0.25">
      <c r="A22" s="243">
        <v>9.5</v>
      </c>
      <c r="B22" s="245">
        <f>A22*8/24</f>
        <v>3.1666666666666665</v>
      </c>
      <c r="D22" s="244">
        <v>0.15625</v>
      </c>
      <c r="E22" s="243">
        <v>42.75</v>
      </c>
    </row>
    <row r="23" spans="1:5" x14ac:dyDescent="0.25">
      <c r="A23" s="243">
        <v>9.5</v>
      </c>
      <c r="B23" s="245">
        <f>A23*8/24</f>
        <v>3.1666666666666665</v>
      </c>
      <c r="D23" s="244">
        <v>0.39583333333333331</v>
      </c>
      <c r="E23" s="243">
        <v>26.5</v>
      </c>
    </row>
    <row r="24" spans="1:5" x14ac:dyDescent="0.25">
      <c r="A24" s="243">
        <v>7.5</v>
      </c>
      <c r="B24" s="245">
        <f>A24*8/24</f>
        <v>2.5</v>
      </c>
      <c r="D24" s="244">
        <v>0.19791666666666666</v>
      </c>
      <c r="E24" s="243">
        <v>33.130000000000003</v>
      </c>
    </row>
    <row r="25" spans="1:5" x14ac:dyDescent="0.25">
      <c r="A25" s="243">
        <v>3.25</v>
      </c>
      <c r="B25" s="245">
        <f>A25*8/24</f>
        <v>1.0833333333333333</v>
      </c>
      <c r="D25" s="244">
        <v>0.35416666666666669</v>
      </c>
      <c r="E25" s="243">
        <v>34.25</v>
      </c>
    </row>
    <row r="26" spans="1:5" x14ac:dyDescent="0.25">
      <c r="A26" s="243">
        <v>5</v>
      </c>
      <c r="B26" s="245">
        <f>A26*8/24</f>
        <v>1.6666666666666667</v>
      </c>
      <c r="D26" s="244">
        <v>0.10416666666666667</v>
      </c>
      <c r="E26" s="243">
        <v>37.630000000000003</v>
      </c>
    </row>
    <row r="27" spans="1:5" x14ac:dyDescent="0.25">
      <c r="A27" s="243">
        <v>2.5</v>
      </c>
      <c r="B27" s="245">
        <f>A27*8/24</f>
        <v>0.83333333333333337</v>
      </c>
      <c r="D27" s="244">
        <v>0.51041666666666663</v>
      </c>
      <c r="E27" s="243">
        <v>29.88</v>
      </c>
    </row>
    <row r="28" spans="1:5" x14ac:dyDescent="0.25">
      <c r="A28" s="243">
        <v>10</v>
      </c>
      <c r="B28" s="245">
        <f>A28*8/24</f>
        <v>3.3333333333333335</v>
      </c>
      <c r="D28" s="244">
        <v>4.1666666666666664E-2</v>
      </c>
      <c r="E28" s="243">
        <v>49.5</v>
      </c>
    </row>
    <row r="29" spans="1:5" x14ac:dyDescent="0.25">
      <c r="A29" s="243">
        <v>5.25</v>
      </c>
      <c r="B29" s="245">
        <f>A29*8/24</f>
        <v>1.75</v>
      </c>
      <c r="D29" s="244">
        <v>0.26041666666666669</v>
      </c>
      <c r="E29" s="243">
        <v>27.25</v>
      </c>
    </row>
    <row r="30" spans="1:5" x14ac:dyDescent="0.25">
      <c r="A30" s="243">
        <v>1</v>
      </c>
      <c r="B30" s="245">
        <f>A30*8/24</f>
        <v>0.33333333333333331</v>
      </c>
      <c r="D30" s="244">
        <v>0.33333333333333331</v>
      </c>
      <c r="E30" s="243">
        <v>36.880000000000003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TOC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11S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2016-04-26T20:55:18Z</dcterms:created>
  <dcterms:modified xsi:type="dcterms:W3CDTF">2016-11-09T10:26:55Z</dcterms:modified>
</cp:coreProperties>
</file>